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etwiler\Desktop\"/>
    </mc:Choice>
  </mc:AlternateContent>
  <bookViews>
    <workbookView xWindow="0" yWindow="0" windowWidth="19200" windowHeight="11745" tabRatio="696" activeTab="1"/>
  </bookViews>
  <sheets>
    <sheet name="INFO" sheetId="4" r:id="rId1"/>
    <sheet name="MAWA.ETWU" sheetId="5" r:id="rId2"/>
    <sheet name="ZONE 1" sheetId="6" state="hidden" r:id="rId3"/>
    <sheet name="ZONE 4" sheetId="7" state="hidden" r:id="rId4"/>
    <sheet name="ZONE 5" sheetId="8" state="hidden" r:id="rId5"/>
    <sheet name="City-Zip Codes" sheetId="9" state="hidden" r:id="rId6"/>
    <sheet name="MAWA.ETWU Monthly" sheetId="10" state="hidden" r:id="rId7"/>
  </sheets>
  <definedNames>
    <definedName name="Comm.Efficiency.Factor">MAWA.ETWU!$M$33:$M$35</definedName>
    <definedName name="Efficiency.Factor">MAWA.ETWU!$M$33:$O$35</definedName>
    <definedName name="_xlnm.Print_Area" localSheetId="1">MAWA.ETWU!$B$2:$AC$44</definedName>
    <definedName name="_xlnm.Print_Area" localSheetId="6">'MAWA.ETWU Monthly'!$B$2:$AC$44</definedName>
    <definedName name="Residential?">MAWA.ETWU!$X$4:$X$5</definedName>
    <definedName name="ZipCode">MAWA.ETWU!$AH$2:$AH$17</definedName>
    <definedName name="ZipCodes">MAWA.ETWU!$AH$3:$AH$17</definedName>
  </definedNames>
  <calcPr calcId="162913"/>
</workbook>
</file>

<file path=xl/calcChain.xml><?xml version="1.0" encoding="utf-8"?>
<calcChain xmlns="http://schemas.openxmlformats.org/spreadsheetml/2006/main">
  <c r="T15" i="10" l="1"/>
  <c r="C31" i="8" l="1"/>
  <c r="C31" i="6"/>
  <c r="C14" i="8"/>
  <c r="T27" i="10"/>
  <c r="T25" i="10"/>
  <c r="V23" i="10"/>
  <c r="T23" i="10"/>
  <c r="W17" i="10"/>
  <c r="T17" i="10"/>
  <c r="W15" i="10"/>
  <c r="H11" i="10"/>
  <c r="N4" i="10"/>
  <c r="C14" i="6"/>
  <c r="T19" i="10" l="1"/>
  <c r="K19" i="10" s="1"/>
  <c r="G19" i="10" s="1"/>
  <c r="K37" i="10"/>
  <c r="G37" i="10" s="1"/>
  <c r="I40" i="10" s="1"/>
  <c r="W19" i="10"/>
  <c r="V23" i="5"/>
  <c r="X40" i="10" l="1"/>
  <c r="Q40" i="10"/>
  <c r="B34" i="7"/>
  <c r="B34" i="6"/>
  <c r="B34" i="8"/>
  <c r="B17" i="7"/>
  <c r="B17" i="8"/>
  <c r="B17" i="6"/>
  <c r="W36" i="10"/>
  <c r="C32" i="8" l="1"/>
  <c r="C32" i="6"/>
  <c r="C15" i="8"/>
  <c r="C15" i="6"/>
  <c r="C17" i="6" s="1"/>
  <c r="N4" i="5"/>
  <c r="N23" i="8"/>
  <c r="M23" i="8"/>
  <c r="L23" i="8"/>
  <c r="K23" i="8"/>
  <c r="J23" i="8"/>
  <c r="I23" i="8"/>
  <c r="H23" i="8"/>
  <c r="G23" i="8"/>
  <c r="F23" i="8"/>
  <c r="E23" i="8"/>
  <c r="D23" i="8"/>
  <c r="C23" i="8"/>
  <c r="O21" i="8"/>
  <c r="N6" i="8"/>
  <c r="M6" i="8"/>
  <c r="L6" i="8"/>
  <c r="K6" i="8"/>
  <c r="J6" i="8"/>
  <c r="I6" i="8"/>
  <c r="H6" i="8"/>
  <c r="G6" i="8"/>
  <c r="F6" i="8"/>
  <c r="E6" i="8"/>
  <c r="D6" i="8"/>
  <c r="C6" i="8"/>
  <c r="O4" i="8"/>
  <c r="N23" i="7"/>
  <c r="M23" i="7"/>
  <c r="L23" i="7"/>
  <c r="K23" i="7"/>
  <c r="J23" i="7"/>
  <c r="I23" i="7"/>
  <c r="H23" i="7"/>
  <c r="G23" i="7"/>
  <c r="F23" i="7"/>
  <c r="E23" i="7"/>
  <c r="D23" i="7"/>
  <c r="C23" i="7"/>
  <c r="O21" i="7"/>
  <c r="N6" i="7"/>
  <c r="M6" i="7"/>
  <c r="L6" i="7"/>
  <c r="K6" i="7"/>
  <c r="J6" i="7"/>
  <c r="I6" i="7"/>
  <c r="H6" i="7"/>
  <c r="G6" i="7"/>
  <c r="F6" i="7"/>
  <c r="E6" i="7"/>
  <c r="D6" i="7"/>
  <c r="C6" i="7"/>
  <c r="O4" i="7"/>
  <c r="N23" i="6"/>
  <c r="M23" i="6"/>
  <c r="L23" i="6"/>
  <c r="K23" i="6"/>
  <c r="J23" i="6"/>
  <c r="I23" i="6"/>
  <c r="H23" i="6"/>
  <c r="G23" i="6"/>
  <c r="F23" i="6"/>
  <c r="E23" i="6"/>
  <c r="D23" i="6"/>
  <c r="C23" i="6"/>
  <c r="O21" i="6"/>
  <c r="N6" i="6"/>
  <c r="M6" i="6"/>
  <c r="L6" i="6"/>
  <c r="K6" i="6"/>
  <c r="J6" i="6"/>
  <c r="I6" i="6"/>
  <c r="H6" i="6"/>
  <c r="G6" i="6"/>
  <c r="F6" i="6"/>
  <c r="E6" i="6"/>
  <c r="D6" i="6"/>
  <c r="C6" i="6"/>
  <c r="O4" i="6"/>
  <c r="C34" i="8" l="1"/>
  <c r="C34" i="6"/>
  <c r="C17" i="8"/>
  <c r="O6" i="6"/>
  <c r="P4" i="6" s="1"/>
  <c r="O6" i="8"/>
  <c r="P4" i="8" s="1"/>
  <c r="L7" i="8" s="1"/>
  <c r="O23" i="8"/>
  <c r="P21" i="8" s="1"/>
  <c r="I24" i="8" s="1"/>
  <c r="O23" i="7"/>
  <c r="P21" i="7" s="1"/>
  <c r="O6" i="7"/>
  <c r="P4" i="7" s="1"/>
  <c r="G7" i="7" s="1"/>
  <c r="O23" i="6"/>
  <c r="P21" i="6" s="1"/>
  <c r="M24" i="8" l="1"/>
  <c r="H24" i="8"/>
  <c r="K24" i="8"/>
  <c r="K31" i="8" s="1"/>
  <c r="K32" i="8" s="1"/>
  <c r="E24" i="8"/>
  <c r="G24" i="8"/>
  <c r="G31" i="8" s="1"/>
  <c r="G32" i="8" s="1"/>
  <c r="L24" i="8"/>
  <c r="J24" i="8"/>
  <c r="J31" i="8" s="1"/>
  <c r="J32" i="8" s="1"/>
  <c r="E7" i="6"/>
  <c r="F7" i="6"/>
  <c r="F14" i="6" s="1"/>
  <c r="F15" i="6" s="1"/>
  <c r="H7" i="6"/>
  <c r="M7" i="6"/>
  <c r="J7" i="6"/>
  <c r="J14" i="6" s="1"/>
  <c r="J15" i="6" s="1"/>
  <c r="L7" i="6"/>
  <c r="L14" i="6" s="1"/>
  <c r="L15" i="6" s="1"/>
  <c r="I7" i="6"/>
  <c r="K7" i="6"/>
  <c r="D7" i="6"/>
  <c r="G7" i="6"/>
  <c r="G14" i="6" s="1"/>
  <c r="G15" i="6" s="1"/>
  <c r="M7" i="8"/>
  <c r="H7" i="8"/>
  <c r="H14" i="8" s="1"/>
  <c r="H15" i="8" s="1"/>
  <c r="K7" i="8"/>
  <c r="I7" i="8"/>
  <c r="D7" i="8"/>
  <c r="G7" i="8"/>
  <c r="J7" i="8"/>
  <c r="E7" i="8"/>
  <c r="E14" i="8" s="1"/>
  <c r="E15" i="8" s="1"/>
  <c r="F7" i="8"/>
  <c r="F14" i="8" s="1"/>
  <c r="F15" i="8" s="1"/>
  <c r="D24" i="8"/>
  <c r="F24" i="8"/>
  <c r="F31" i="8" s="1"/>
  <c r="F32" i="8" s="1"/>
  <c r="F24" i="7"/>
  <c r="F31" i="7" s="1"/>
  <c r="F32" i="7" s="1"/>
  <c r="J24" i="7"/>
  <c r="N24" i="7"/>
  <c r="D24" i="7"/>
  <c r="D31" i="7" s="1"/>
  <c r="D32" i="7" s="1"/>
  <c r="D34" i="7" s="1"/>
  <c r="I24" i="7"/>
  <c r="K24" i="7"/>
  <c r="H24" i="7"/>
  <c r="H31" i="7" s="1"/>
  <c r="H32" i="7" s="1"/>
  <c r="M24" i="7"/>
  <c r="L24" i="7"/>
  <c r="L31" i="7" s="1"/>
  <c r="L32" i="7" s="1"/>
  <c r="C24" i="7"/>
  <c r="E24" i="7"/>
  <c r="G24" i="7"/>
  <c r="D7" i="7"/>
  <c r="H7" i="7"/>
  <c r="L7" i="7"/>
  <c r="M7" i="7"/>
  <c r="C7" i="7"/>
  <c r="C14" i="7" s="1"/>
  <c r="C15" i="7" s="1"/>
  <c r="N7" i="7"/>
  <c r="I7" i="7"/>
  <c r="J7" i="7"/>
  <c r="E7" i="7"/>
  <c r="E14" i="7" s="1"/>
  <c r="E15" i="7" s="1"/>
  <c r="K7" i="7"/>
  <c r="K14" i="7" s="1"/>
  <c r="K15" i="7" s="1"/>
  <c r="F7" i="7"/>
  <c r="M24" i="6"/>
  <c r="F24" i="6"/>
  <c r="F31" i="6" s="1"/>
  <c r="F32" i="6" s="1"/>
  <c r="D24" i="6"/>
  <c r="D31" i="6" s="1"/>
  <c r="D32" i="6" s="1"/>
  <c r="J24" i="6"/>
  <c r="G24" i="6"/>
  <c r="L24" i="6"/>
  <c r="H24" i="6"/>
  <c r="H31" i="6" s="1"/>
  <c r="H32" i="6" s="1"/>
  <c r="E24" i="6"/>
  <c r="E31" i="6" s="1"/>
  <c r="E32" i="6" s="1"/>
  <c r="K24" i="6"/>
  <c r="K31" i="6" s="1"/>
  <c r="K32" i="6" s="1"/>
  <c r="I24" i="6"/>
  <c r="I31" i="6" s="1"/>
  <c r="I32" i="6" s="1"/>
  <c r="C17" i="7" l="1"/>
  <c r="I14" i="8"/>
  <c r="I15" i="8" s="1"/>
  <c r="M31" i="6"/>
  <c r="M32" i="6" s="1"/>
  <c r="N31" i="6"/>
  <c r="N32" i="6" s="1"/>
  <c r="N34" i="6" s="1"/>
  <c r="M14" i="7"/>
  <c r="M15" i="7" s="1"/>
  <c r="M31" i="7"/>
  <c r="M32" i="7" s="1"/>
  <c r="M27" i="7"/>
  <c r="M10" i="8"/>
  <c r="K14" i="8"/>
  <c r="K15" i="8" s="1"/>
  <c r="E31" i="8"/>
  <c r="E32" i="8" s="1"/>
  <c r="F14" i="7"/>
  <c r="F15" i="7" s="1"/>
  <c r="P15" i="7" s="1"/>
  <c r="Q15" i="7" s="1"/>
  <c r="G10" i="7"/>
  <c r="L14" i="7"/>
  <c r="L15" i="7" s="1"/>
  <c r="M10" i="7"/>
  <c r="C27" i="8"/>
  <c r="D31" i="8"/>
  <c r="D32" i="8" s="1"/>
  <c r="H14" i="7"/>
  <c r="H15" i="7" s="1"/>
  <c r="I10" i="7"/>
  <c r="K31" i="7"/>
  <c r="K32" i="7" s="1"/>
  <c r="K27" i="7"/>
  <c r="C10" i="8"/>
  <c r="N14" i="8"/>
  <c r="N15" i="8" s="1"/>
  <c r="N17" i="8" s="1"/>
  <c r="M14" i="8"/>
  <c r="M15" i="8" s="1"/>
  <c r="H31" i="8"/>
  <c r="H32" i="8" s="1"/>
  <c r="L31" i="6"/>
  <c r="L32" i="6" s="1"/>
  <c r="D14" i="7"/>
  <c r="D15" i="7" s="1"/>
  <c r="D17" i="7" s="1"/>
  <c r="E10" i="7"/>
  <c r="I31" i="7"/>
  <c r="I32" i="7" s="1"/>
  <c r="I27" i="7"/>
  <c r="I27" i="8"/>
  <c r="M31" i="8"/>
  <c r="M32" i="8" s="1"/>
  <c r="N31" i="8"/>
  <c r="N32" i="8" s="1"/>
  <c r="N34" i="8" s="1"/>
  <c r="G31" i="6"/>
  <c r="G32" i="6" s="1"/>
  <c r="P32" i="6" s="1"/>
  <c r="Q32" i="6" s="1"/>
  <c r="J14" i="7"/>
  <c r="J15" i="7" s="1"/>
  <c r="K10" i="7"/>
  <c r="G31" i="7"/>
  <c r="G32" i="7" s="1"/>
  <c r="G27" i="7"/>
  <c r="K10" i="8"/>
  <c r="J14" i="8"/>
  <c r="J15" i="8" s="1"/>
  <c r="M27" i="8"/>
  <c r="L14" i="8"/>
  <c r="L15" i="8" s="1"/>
  <c r="J31" i="6"/>
  <c r="J32" i="6" s="1"/>
  <c r="I14" i="7"/>
  <c r="I15" i="7" s="1"/>
  <c r="E31" i="7"/>
  <c r="E32" i="7" s="1"/>
  <c r="E27" i="7"/>
  <c r="N31" i="7"/>
  <c r="N32" i="7" s="1"/>
  <c r="N34" i="7" s="1"/>
  <c r="G14" i="8"/>
  <c r="G15" i="8" s="1"/>
  <c r="I31" i="8"/>
  <c r="I32" i="8" s="1"/>
  <c r="D34" i="6"/>
  <c r="N14" i="7"/>
  <c r="N15" i="7" s="1"/>
  <c r="N17" i="7" s="1"/>
  <c r="C10" i="7"/>
  <c r="C31" i="7"/>
  <c r="C32" i="7" s="1"/>
  <c r="C27" i="7"/>
  <c r="J31" i="7"/>
  <c r="J32" i="7" s="1"/>
  <c r="E10" i="8"/>
  <c r="D14" i="8"/>
  <c r="D15" i="8" s="1"/>
  <c r="I14" i="6"/>
  <c r="I15" i="6" s="1"/>
  <c r="L31" i="8"/>
  <c r="L32" i="8" s="1"/>
  <c r="G14" i="7"/>
  <c r="G15" i="7" s="1"/>
  <c r="E10" i="6"/>
  <c r="D14" i="6"/>
  <c r="D15" i="6" s="1"/>
  <c r="D17" i="6" s="1"/>
  <c r="K14" i="6"/>
  <c r="K15" i="6" s="1"/>
  <c r="C10" i="6"/>
  <c r="N14" i="6"/>
  <c r="N15" i="6" s="1"/>
  <c r="N17" i="6" s="1"/>
  <c r="M14" i="6"/>
  <c r="M15" i="6" s="1"/>
  <c r="C27" i="6"/>
  <c r="H14" i="6"/>
  <c r="H15" i="6" s="1"/>
  <c r="E14" i="6"/>
  <c r="E15" i="6" s="1"/>
  <c r="E27" i="8"/>
  <c r="I10" i="8"/>
  <c r="K27" i="8"/>
  <c r="G10" i="8"/>
  <c r="G27" i="8"/>
  <c r="M10" i="6"/>
  <c r="E27" i="6"/>
  <c r="K27" i="6"/>
  <c r="G27" i="6"/>
  <c r="M27" i="6"/>
  <c r="I10" i="6"/>
  <c r="G10" i="6"/>
  <c r="K10" i="6"/>
  <c r="I27" i="6"/>
  <c r="J16" i="7" l="1"/>
  <c r="J17" i="7" s="1"/>
  <c r="L16" i="7"/>
  <c r="L17" i="7" s="1"/>
  <c r="I16" i="7"/>
  <c r="I17" i="7" s="1"/>
  <c r="G16" i="7"/>
  <c r="G17" i="7" s="1"/>
  <c r="M16" i="7"/>
  <c r="M17" i="7" s="1"/>
  <c r="K16" i="7"/>
  <c r="K17" i="7" s="1"/>
  <c r="E16" i="7"/>
  <c r="E17" i="7" s="1"/>
  <c r="F16" i="7"/>
  <c r="F17" i="7" s="1"/>
  <c r="H16" i="7"/>
  <c r="H17" i="7" s="1"/>
  <c r="G33" i="6"/>
  <c r="G34" i="6" s="1"/>
  <c r="E33" i="6"/>
  <c r="E34" i="6" s="1"/>
  <c r="J33" i="6"/>
  <c r="J34" i="6" s="1"/>
  <c r="L33" i="6"/>
  <c r="L34" i="6" s="1"/>
  <c r="H33" i="6"/>
  <c r="H34" i="6" s="1"/>
  <c r="M33" i="6"/>
  <c r="M34" i="6" s="1"/>
  <c r="K33" i="6"/>
  <c r="K34" i="6" s="1"/>
  <c r="I33" i="6"/>
  <c r="I34" i="6" s="1"/>
  <c r="F33" i="6"/>
  <c r="F34" i="6" s="1"/>
  <c r="C34" i="7"/>
  <c r="P32" i="7"/>
  <c r="Q32" i="7" s="1"/>
  <c r="D17" i="8"/>
  <c r="P15" i="8"/>
  <c r="Q15" i="8" s="1"/>
  <c r="D34" i="8"/>
  <c r="P32" i="8"/>
  <c r="Q32" i="8" s="1"/>
  <c r="H11" i="5"/>
  <c r="P17" i="7" l="1"/>
  <c r="Q17" i="7" s="1"/>
  <c r="M16" i="8"/>
  <c r="M17" i="8" s="1"/>
  <c r="J16" i="8"/>
  <c r="J17" i="8" s="1"/>
  <c r="L16" i="8"/>
  <c r="L17" i="8" s="1"/>
  <c r="I16" i="8"/>
  <c r="I17" i="8" s="1"/>
  <c r="F16" i="8"/>
  <c r="F17" i="8" s="1"/>
  <c r="P17" i="8" s="1"/>
  <c r="Q17" i="8" s="1"/>
  <c r="H16" i="8"/>
  <c r="H17" i="8" s="1"/>
  <c r="G16" i="8"/>
  <c r="G17" i="8" s="1"/>
  <c r="E16" i="8"/>
  <c r="E17" i="8" s="1"/>
  <c r="K16" i="8"/>
  <c r="K17" i="8" s="1"/>
  <c r="I33" i="7"/>
  <c r="I34" i="7" s="1"/>
  <c r="K33" i="7"/>
  <c r="K34" i="7" s="1"/>
  <c r="E33" i="7"/>
  <c r="E34" i="7" s="1"/>
  <c r="G33" i="7"/>
  <c r="G34" i="7" s="1"/>
  <c r="F33" i="7"/>
  <c r="F34" i="7" s="1"/>
  <c r="P34" i="7" s="1"/>
  <c r="Q34" i="7" s="1"/>
  <c r="J33" i="7"/>
  <c r="J34" i="7" s="1"/>
  <c r="L33" i="7"/>
  <c r="L34" i="7" s="1"/>
  <c r="M33" i="7"/>
  <c r="M34" i="7" s="1"/>
  <c r="H33" i="7"/>
  <c r="H34" i="7" s="1"/>
  <c r="P34" i="6"/>
  <c r="Q34" i="6" s="1"/>
  <c r="E33" i="8"/>
  <c r="E34" i="8" s="1"/>
  <c r="P34" i="8" s="1"/>
  <c r="Q34" i="8" s="1"/>
  <c r="J33" i="8"/>
  <c r="J34" i="8" s="1"/>
  <c r="F33" i="8"/>
  <c r="F34" i="8" s="1"/>
  <c r="L33" i="8"/>
  <c r="L34" i="8" s="1"/>
  <c r="K33" i="8"/>
  <c r="K34" i="8" s="1"/>
  <c r="M33" i="8"/>
  <c r="M34" i="8" s="1"/>
  <c r="H33" i="8"/>
  <c r="H34" i="8" s="1"/>
  <c r="G33" i="8"/>
  <c r="G34" i="8" s="1"/>
  <c r="I33" i="8"/>
  <c r="I34" i="8" s="1"/>
  <c r="T17" i="5"/>
  <c r="T15" i="5"/>
  <c r="T27" i="5" l="1"/>
  <c r="T25" i="5"/>
  <c r="T23" i="5"/>
  <c r="W17" i="5" l="1"/>
  <c r="W15" i="5"/>
  <c r="K37" i="5" l="1"/>
  <c r="G37" i="5" s="1"/>
  <c r="B30" i="6" s="1"/>
  <c r="T19" i="5"/>
  <c r="W19" i="5"/>
  <c r="B13" i="6" l="1"/>
  <c r="B30" i="7"/>
  <c r="B13" i="7"/>
  <c r="B30" i="8"/>
  <c r="B13" i="8"/>
  <c r="K19" i="5"/>
  <c r="G19" i="5" s="1"/>
  <c r="W36" i="5" s="1"/>
  <c r="X40" i="5"/>
  <c r="I40" i="5"/>
  <c r="Q40" i="5"/>
  <c r="C11" i="6" l="1"/>
  <c r="H42" i="10"/>
  <c r="E11" i="8"/>
  <c r="E13" i="8" s="1"/>
  <c r="C11" i="8"/>
  <c r="M11" i="8"/>
  <c r="K11" i="8"/>
  <c r="G11" i="8"/>
  <c r="I11" i="8"/>
  <c r="C28" i="8"/>
  <c r="M28" i="8"/>
  <c r="E28" i="8"/>
  <c r="K28" i="8"/>
  <c r="I28" i="8"/>
  <c r="G28" i="8"/>
  <c r="I11" i="7"/>
  <c r="G11" i="7"/>
  <c r="E11" i="7"/>
  <c r="E13" i="7" s="1"/>
  <c r="M11" i="7"/>
  <c r="K11" i="7"/>
  <c r="C11" i="7"/>
  <c r="G28" i="7"/>
  <c r="I28" i="7"/>
  <c r="M28" i="7"/>
  <c r="C28" i="7"/>
  <c r="K28" i="7"/>
  <c r="E28" i="7"/>
  <c r="K11" i="6"/>
  <c r="E11" i="6"/>
  <c r="E13" i="6" s="1"/>
  <c r="G11" i="6"/>
  <c r="M11" i="6"/>
  <c r="I11" i="6"/>
  <c r="C28" i="6"/>
  <c r="G28" i="6"/>
  <c r="M28" i="6"/>
  <c r="E28" i="6"/>
  <c r="I28" i="6"/>
  <c r="K28" i="6"/>
  <c r="AB42" i="10" l="1"/>
  <c r="F42" i="10"/>
  <c r="C30" i="8"/>
  <c r="P28" i="8"/>
  <c r="Q28" i="8" s="1"/>
  <c r="C30" i="7"/>
  <c r="P28" i="7"/>
  <c r="Q28" i="7" s="1"/>
  <c r="P11" i="7"/>
  <c r="Q11" i="7" s="1"/>
  <c r="C13" i="7"/>
  <c r="C13" i="8"/>
  <c r="P11" i="8"/>
  <c r="Q11" i="8" s="1"/>
  <c r="C30" i="6"/>
  <c r="P28" i="6"/>
  <c r="Q28" i="6" s="1"/>
  <c r="C13" i="6"/>
  <c r="P11" i="6"/>
  <c r="Q11" i="6" s="1"/>
  <c r="I12" i="6" s="1"/>
  <c r="E29" i="8" l="1"/>
  <c r="E30" i="8" s="1"/>
  <c r="K29" i="8"/>
  <c r="K30" i="8" s="1"/>
  <c r="M29" i="8"/>
  <c r="G29" i="8"/>
  <c r="G30" i="8" s="1"/>
  <c r="M12" i="7"/>
  <c r="M13" i="7" s="1"/>
  <c r="G12" i="7"/>
  <c r="G13" i="7" s="1"/>
  <c r="K12" i="7"/>
  <c r="K13" i="7" s="1"/>
  <c r="I12" i="7"/>
  <c r="I13" i="7" s="1"/>
  <c r="K29" i="7"/>
  <c r="K30" i="7" s="1"/>
  <c r="M29" i="7"/>
  <c r="M30" i="7" s="1"/>
  <c r="E29" i="7"/>
  <c r="E30" i="7" s="1"/>
  <c r="G29" i="7"/>
  <c r="G30" i="7" s="1"/>
  <c r="G12" i="8"/>
  <c r="G13" i="8" s="1"/>
  <c r="M12" i="8"/>
  <c r="M13" i="8" s="1"/>
  <c r="I12" i="8"/>
  <c r="I13" i="8" s="1"/>
  <c r="K12" i="8"/>
  <c r="K13" i="8" s="1"/>
  <c r="F42" i="5"/>
  <c r="M12" i="6"/>
  <c r="M13" i="6" s="1"/>
  <c r="E12" i="6"/>
  <c r="K12" i="6"/>
  <c r="K13" i="6" s="1"/>
  <c r="I13" i="6"/>
  <c r="G12" i="6"/>
  <c r="G13" i="6" s="1"/>
  <c r="K29" i="6"/>
  <c r="K30" i="6" s="1"/>
  <c r="E29" i="6"/>
  <c r="E30" i="6" s="1"/>
  <c r="M29" i="6"/>
  <c r="M30" i="6" s="1"/>
  <c r="G29" i="6"/>
  <c r="G30" i="6" s="1"/>
  <c r="E12" i="8"/>
  <c r="I29" i="7"/>
  <c r="I30" i="7" s="1"/>
  <c r="M30" i="8"/>
  <c r="I29" i="8"/>
  <c r="I30" i="8" s="1"/>
  <c r="E12" i="7"/>
  <c r="I29" i="6"/>
  <c r="I30" i="6" s="1"/>
  <c r="J42" i="5" l="1"/>
  <c r="V42" i="5"/>
  <c r="N42" i="5"/>
  <c r="Z42" i="5"/>
  <c r="R42" i="5"/>
  <c r="P13" i="8"/>
  <c r="Q13" i="8" s="1"/>
  <c r="P30" i="6"/>
  <c r="Q30" i="6" s="1"/>
  <c r="P30" i="8"/>
  <c r="Q30" i="8" s="1"/>
  <c r="P30" i="7"/>
  <c r="Q30" i="7" s="1"/>
  <c r="P13" i="7"/>
  <c r="Q13" i="7" s="1"/>
  <c r="P13" i="6"/>
  <c r="Q13" i="6" s="1"/>
  <c r="P15" i="6" l="1"/>
  <c r="Q15" i="6" s="1"/>
  <c r="F16" i="6" l="1"/>
  <c r="G16" i="6"/>
  <c r="E16" i="6"/>
  <c r="E17" i="6" s="1"/>
  <c r="H16" i="6"/>
  <c r="M16" i="6"/>
  <c r="L16" i="6"/>
  <c r="I16" i="6"/>
  <c r="J16" i="6"/>
  <c r="K16" i="6"/>
  <c r="J17" i="6" l="1"/>
  <c r="T42" i="10" s="1"/>
  <c r="I17" i="6"/>
  <c r="R42" i="10" s="1"/>
  <c r="F17" i="6"/>
  <c r="K17" i="6"/>
  <c r="V42" i="10" s="1"/>
  <c r="L17" i="6"/>
  <c r="X42" i="10" s="1"/>
  <c r="H17" i="6"/>
  <c r="P42" i="10" s="1"/>
  <c r="G17" i="6"/>
  <c r="N42" i="10" s="1"/>
  <c r="M17" i="6"/>
  <c r="Z42" i="10" s="1"/>
  <c r="J42" i="10"/>
  <c r="P17" i="6" l="1"/>
  <c r="Q17" i="6" s="1"/>
  <c r="L42" i="10"/>
</calcChain>
</file>

<file path=xl/comments1.xml><?xml version="1.0" encoding="utf-8"?>
<comments xmlns="http://schemas.openxmlformats.org/spreadsheetml/2006/main">
  <authors>
    <author>Craig Lauridsen</author>
  </authors>
  <commentList>
    <comment ref="N4" authorId="0" shapeId="0">
      <text>
        <r>
          <rPr>
            <b/>
            <sz val="8"/>
            <color indexed="81"/>
            <rFont val="Tahoma"/>
            <family val="2"/>
          </rPr>
          <t>Net Eto (Annual ETo minus Effective Rainfall)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For example:
-edible gardens
-parks
-sports fields
-golf courses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 xml:space="preserve">Square feet in this cell should also be included in "Landscape Area" cell </t>
        </r>
      </text>
    </comment>
  </commentList>
</comments>
</file>

<file path=xl/comments2.xml><?xml version="1.0" encoding="utf-8"?>
<comments xmlns="http://schemas.openxmlformats.org/spreadsheetml/2006/main">
  <authors>
    <author>Craig Lauridsen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Craig Lauridsen:</t>
        </r>
        <r>
          <rPr>
            <sz val="9"/>
            <color indexed="81"/>
            <rFont val="Tahoma"/>
            <family val="2"/>
          </rPr>
          <t xml:space="preserve">
Adj Total= Feb-Nov ET minus Feb-Nov effective rainfall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Craig Lauridsen:</t>
        </r>
        <r>
          <rPr>
            <sz val="9"/>
            <color indexed="81"/>
            <rFont val="Tahoma"/>
            <family val="2"/>
          </rPr>
          <t xml:space="preserve">
Adj Total= Feb-Nov ET minus Feb-Nov effective rainfall</t>
        </r>
      </text>
    </comment>
  </commentList>
</comments>
</file>

<file path=xl/comments3.xml><?xml version="1.0" encoding="utf-8"?>
<comments xmlns="http://schemas.openxmlformats.org/spreadsheetml/2006/main">
  <authors>
    <author>Craig Lauridsen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Craig Lauridsen:</t>
        </r>
        <r>
          <rPr>
            <sz val="9"/>
            <color indexed="81"/>
            <rFont val="Tahoma"/>
            <family val="2"/>
          </rPr>
          <t xml:space="preserve">
Adj Total= Jan-Dec ET minus Jan-Dec effective rainfall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Craig Lauridsen:</t>
        </r>
        <r>
          <rPr>
            <sz val="9"/>
            <color indexed="81"/>
            <rFont val="Tahoma"/>
            <family val="2"/>
          </rPr>
          <t xml:space="preserve">
Adj Total= Jan-Dec ET minus Jan-Dec effective rainfall</t>
        </r>
      </text>
    </comment>
  </commentList>
</comments>
</file>

<file path=xl/comments4.xml><?xml version="1.0" encoding="utf-8"?>
<comments xmlns="http://schemas.openxmlformats.org/spreadsheetml/2006/main">
  <authors>
    <author>Craig Lauridsen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Craig Lauridsen:</t>
        </r>
        <r>
          <rPr>
            <sz val="9"/>
            <color indexed="81"/>
            <rFont val="Tahoma"/>
            <family val="2"/>
          </rPr>
          <t xml:space="preserve">
Adj Total= Feb-Nov ET minus Feb-Nov effective rainfall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Craig Lauridsen:</t>
        </r>
        <r>
          <rPr>
            <sz val="9"/>
            <color indexed="81"/>
            <rFont val="Tahoma"/>
            <family val="2"/>
          </rPr>
          <t xml:space="preserve">
Adj Total= Feb-Nov ET minus Feb-Nov effective rainfall</t>
        </r>
      </text>
    </comment>
  </commentList>
</comments>
</file>

<file path=xl/comments5.xml><?xml version="1.0" encoding="utf-8"?>
<comments xmlns="http://schemas.openxmlformats.org/spreadsheetml/2006/main">
  <authors>
    <author>Craig Lauridsen</author>
  </authors>
  <commentList>
    <comment ref="N4" authorId="0" shapeId="0">
      <text>
        <r>
          <rPr>
            <b/>
            <sz val="8"/>
            <color indexed="81"/>
            <rFont val="Tahoma"/>
            <family val="2"/>
          </rPr>
          <t>Net Eto (Annual ETo minus Effective Rainfall)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For example:
-edible gardens
-parks
-sports fields
-golf courses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 xml:space="preserve">Square feet in this cell should also be included in "Landscape Area" cell </t>
        </r>
      </text>
    </comment>
  </commentList>
</comments>
</file>

<file path=xl/sharedStrings.xml><?xml version="1.0" encoding="utf-8"?>
<sst xmlns="http://schemas.openxmlformats.org/spreadsheetml/2006/main" count="344" uniqueCount="123">
  <si>
    <t>Maximum Applied Water Allowance</t>
  </si>
  <si>
    <t>Maximum Applied Water Allowance (MAWA)</t>
  </si>
  <si>
    <t>MAWA =</t>
  </si>
  <si>
    <t>Estimated Total Water Use (ETWU)</t>
  </si>
  <si>
    <t>ETWU =</t>
  </si>
  <si>
    <t>% of Total Landscape      Irrigated with Drip</t>
  </si>
  <si>
    <t>Irrigation Efficiency Factor</t>
  </si>
  <si>
    <t>Baseline Period</t>
  </si>
  <si>
    <t>Baseline CCF's</t>
  </si>
  <si>
    <t xml:space="preserve">1 CCF = 748 Gallons; 1 AF = 435.6 CCF's  </t>
  </si>
  <si>
    <t>For more information please contact 415-945-1497 or see our website at www.marinwater.org</t>
  </si>
  <si>
    <t>Enter Project Information</t>
  </si>
  <si>
    <t xml:space="preserve">Project Name:  </t>
  </si>
  <si>
    <t>0-33%</t>
  </si>
  <si>
    <t>34-66%</t>
  </si>
  <si>
    <t>67-100%</t>
  </si>
  <si>
    <t>Enter Zip Code</t>
  </si>
  <si>
    <t>Water Use Table</t>
  </si>
  <si>
    <t xml:space="preserve">Address:  </t>
  </si>
  <si>
    <t xml:space="preserve">Meter Number:  </t>
  </si>
  <si>
    <t>ETWU</t>
  </si>
  <si>
    <t>Landscaped Area:</t>
  </si>
  <si>
    <t>Special Landscaped Area:</t>
  </si>
  <si>
    <t>Efficiency Factor</t>
  </si>
  <si>
    <t>sqft</t>
  </si>
  <si>
    <t>CCF</t>
  </si>
  <si>
    <t xml:space="preserve"> select</t>
  </si>
  <si>
    <t xml:space="preserve"> Gallons:</t>
  </si>
  <si>
    <t xml:space="preserve"> AF:</t>
  </si>
  <si>
    <t xml:space="preserve"> CCF's:</t>
  </si>
  <si>
    <t>Residential?</t>
  </si>
  <si>
    <t>Yes</t>
  </si>
  <si>
    <t>No</t>
  </si>
  <si>
    <t>Res.</t>
  </si>
  <si>
    <t>Comm.</t>
  </si>
  <si>
    <t>Location/Sheet No.</t>
  </si>
  <si>
    <t>Date:</t>
  </si>
  <si>
    <t>(J)anuary read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</si>
  <si>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</si>
  <si>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</si>
  <si>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</si>
  <si>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</si>
  <si>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</si>
  <si>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</si>
  <si>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</si>
  <si>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</si>
  <si>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</si>
  <si>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</si>
  <si>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</si>
  <si>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</si>
  <si>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</si>
  <si>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Adj Total</t>
  </si>
  <si>
    <r>
      <t xml:space="preserve">ET - </t>
    </r>
    <r>
      <rPr>
        <sz val="8"/>
        <color theme="1"/>
        <rFont val="Calibri"/>
        <family val="2"/>
        <scheme val="minor"/>
      </rPr>
      <t>CIMIS Reference Eto Map</t>
    </r>
  </si>
  <si>
    <r>
      <t xml:space="preserve">RAINFALL </t>
    </r>
    <r>
      <rPr>
        <sz val="8"/>
        <color theme="1"/>
        <rFont val="Calibri"/>
        <family val="2"/>
        <scheme val="minor"/>
      </rPr>
      <t>(inches) - 2004-2013 local CIMIS DATA</t>
    </r>
  </si>
  <si>
    <t>New water use table</t>
  </si>
  <si>
    <r>
      <rPr>
        <b/>
        <sz val="9"/>
        <rFont val="Arial"/>
        <family val="2"/>
      </rPr>
      <t>Jan</t>
    </r>
    <r>
      <rPr>
        <sz val="9"/>
        <rFont val="Arial"/>
        <family val="2"/>
      </rPr>
      <t>/Feb</t>
    </r>
  </si>
  <si>
    <r>
      <rPr>
        <b/>
        <sz val="9"/>
        <rFont val="Arial"/>
        <family val="2"/>
      </rPr>
      <t>Mar</t>
    </r>
    <r>
      <rPr>
        <sz val="9"/>
        <rFont val="Arial"/>
        <family val="2"/>
      </rPr>
      <t>/Apr</t>
    </r>
  </si>
  <si>
    <r>
      <rPr>
        <b/>
        <sz val="9"/>
        <rFont val="Arial"/>
        <family val="2"/>
      </rPr>
      <t>May</t>
    </r>
    <r>
      <rPr>
        <sz val="9"/>
        <rFont val="Arial"/>
        <family val="2"/>
      </rPr>
      <t>/Jun</t>
    </r>
  </si>
  <si>
    <r>
      <rPr>
        <b/>
        <sz val="9"/>
        <rFont val="Arial"/>
        <family val="2"/>
      </rPr>
      <t>Jul</t>
    </r>
    <r>
      <rPr>
        <sz val="9"/>
        <rFont val="Arial"/>
        <family val="2"/>
      </rPr>
      <t>/Aug</t>
    </r>
  </si>
  <si>
    <r>
      <rPr>
        <b/>
        <sz val="9"/>
        <rFont val="Arial"/>
        <family val="2"/>
      </rPr>
      <t>Sep</t>
    </r>
    <r>
      <rPr>
        <sz val="9"/>
        <rFont val="Arial"/>
        <family val="2"/>
      </rPr>
      <t>/Oct</t>
    </r>
  </si>
  <si>
    <r>
      <rPr>
        <b/>
        <sz val="9"/>
        <rFont val="Arial"/>
        <family val="2"/>
      </rPr>
      <t>Nov</t>
    </r>
    <r>
      <rPr>
        <sz val="9"/>
        <rFont val="Arial"/>
        <family val="2"/>
      </rPr>
      <t>/Dec</t>
    </r>
  </si>
  <si>
    <t>Sum</t>
  </si>
  <si>
    <t>Delta</t>
  </si>
  <si>
    <t>(F)ebruary read</t>
  </si>
  <si>
    <r>
      <t>Jan/</t>
    </r>
    <r>
      <rPr>
        <b/>
        <sz val="9"/>
        <rFont val="Arial"/>
        <family val="2"/>
      </rPr>
      <t>Feb</t>
    </r>
  </si>
  <si>
    <r>
      <t>Mar/</t>
    </r>
    <r>
      <rPr>
        <b/>
        <sz val="9"/>
        <rFont val="Arial"/>
        <family val="2"/>
      </rPr>
      <t>Apr</t>
    </r>
  </si>
  <si>
    <r>
      <t>May/</t>
    </r>
    <r>
      <rPr>
        <b/>
        <sz val="9"/>
        <rFont val="Arial"/>
        <family val="2"/>
      </rPr>
      <t>Jun</t>
    </r>
  </si>
  <si>
    <r>
      <t>Jul/</t>
    </r>
    <r>
      <rPr>
        <b/>
        <sz val="9"/>
        <rFont val="Arial"/>
        <family val="2"/>
      </rPr>
      <t>Aug</t>
    </r>
  </si>
  <si>
    <r>
      <t>Sep/</t>
    </r>
    <r>
      <rPr>
        <b/>
        <sz val="9"/>
        <rFont val="Arial"/>
        <family val="2"/>
      </rPr>
      <t>Oct</t>
    </r>
  </si>
  <si>
    <r>
      <t>Nov/</t>
    </r>
    <r>
      <rPr>
        <b/>
        <sz val="9"/>
        <rFont val="Arial"/>
        <family val="2"/>
      </rPr>
      <t>Dec</t>
    </r>
  </si>
  <si>
    <t>JAN and DEC are not factored in because the effective rainfall exceeds ET</t>
  </si>
  <si>
    <t>ZONE 5</t>
  </si>
  <si>
    <t>Belvedere-Tiburon</t>
  </si>
  <si>
    <t>Corte Madera</t>
  </si>
  <si>
    <t>Fairfax</t>
  </si>
  <si>
    <t>Forest Knolls</t>
  </si>
  <si>
    <t>Kentfield</t>
  </si>
  <si>
    <t>Larkspur</t>
  </si>
  <si>
    <t>Mill Valley</t>
  </si>
  <si>
    <t>Ross</t>
  </si>
  <si>
    <t>San Anselmo</t>
  </si>
  <si>
    <t>San Geronimo</t>
  </si>
  <si>
    <t>San Quentin</t>
  </si>
  <si>
    <t>San Rafael</t>
  </si>
  <si>
    <t>Sausalito</t>
  </si>
  <si>
    <t>Woodacre</t>
  </si>
  <si>
    <t>City</t>
  </si>
  <si>
    <t>Zip Code</t>
  </si>
  <si>
    <t>Nicasio</t>
  </si>
  <si>
    <t>`</t>
  </si>
  <si>
    <t>Zone</t>
  </si>
  <si>
    <r>
      <t xml:space="preserve">Bill Period </t>
    </r>
    <r>
      <rPr>
        <b/>
        <u/>
        <sz val="10"/>
        <rFont val="Arial"/>
        <family val="2"/>
      </rPr>
      <t>(J = odd, F = even)</t>
    </r>
  </si>
  <si>
    <t>F</t>
  </si>
  <si>
    <t>J</t>
  </si>
  <si>
    <t>Note: Kentfield and Greenbrae and have the same zip code (94904) but Kentfield is a J and Greenbrae is an F.</t>
  </si>
  <si>
    <t>Zip Codes: NA</t>
  </si>
  <si>
    <t>Zip Codes: 94901, 94903</t>
  </si>
  <si>
    <t>Zip Codes: 94920, 94965</t>
  </si>
  <si>
    <t>Zip Codes: 94941</t>
  </si>
  <si>
    <t>Zip Codes: 94964</t>
  </si>
  <si>
    <t>Zip Codes: 94904, 94925, 94930, 94933, 94939, 94946, 94957, 94960, 94963, 94973</t>
  </si>
  <si>
    <t>Zone 4</t>
  </si>
  <si>
    <t>Zone 1</t>
  </si>
  <si>
    <t>% of Jan-Dec Adj ET</t>
  </si>
  <si>
    <t>Low water use plant</t>
  </si>
  <si>
    <t>Moderate water use plant</t>
  </si>
  <si>
    <t>High water use plant</t>
  </si>
  <si>
    <t>Jan/Feb</t>
  </si>
  <si>
    <t>Mar/Apr</t>
  </si>
  <si>
    <t>May/Jun</t>
  </si>
  <si>
    <t>Jul/Aug</t>
  </si>
  <si>
    <t>Sep/Oct</t>
  </si>
  <si>
    <t>Nov/Dec</t>
  </si>
  <si>
    <t>Water Use Table - Monthly</t>
  </si>
  <si>
    <t>Bi-Monthly</t>
  </si>
  <si>
    <t>Monthly</t>
  </si>
  <si>
    <t>6/16</t>
  </si>
  <si>
    <t>Effective Rainfall (.25 of rainfall)</t>
  </si>
  <si>
    <t>units</t>
  </si>
  <si>
    <t>For more information please contact 415.945.1497 or see our website at MarinWater.org</t>
  </si>
  <si>
    <t xml:space="preserve">1 unit or CCF (hundred cubic feet) = 748 gallons; 1 AF = 435.6 units  </t>
  </si>
  <si>
    <t xml:space="preserve"> Units:</t>
  </si>
  <si>
    <t>Baseline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</si>
</sst>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68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9"/>
      <name val="Times New Roman"/>
      <family val="1"/>
    </font>
    <font>
      <sz val="9"/>
      <color theme="0" tint="-0.14999847407452621"/>
      <name val="Arial"/>
      <family val="2"/>
    </font>
    <font>
      <b/>
      <sz val="9"/>
      <name val="Times New Roman"/>
      <family val="1"/>
    </font>
    <font>
      <i/>
      <sz val="9"/>
      <name val="Arial"/>
      <family val="2"/>
    </font>
    <font>
      <u/>
      <sz val="9"/>
      <name val="Arial"/>
      <family val="2"/>
    </font>
    <font>
      <sz val="8.5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8.5"/>
      <name val="Arial"/>
      <family val="2"/>
    </font>
    <font>
      <sz val="10"/>
      <color theme="0" tint="-0.14999847407452621"/>
      <name val="Arial"/>
      <family val="2"/>
    </font>
    <font>
      <b/>
      <sz val="9"/>
      <color theme="0" tint="-0.14999847407452621"/>
      <name val="Arial"/>
      <family val="2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8"/>
      <color theme="0" tint="-0.14999847407452621"/>
      <name val="Arial"/>
      <family val="2"/>
    </font>
    <font>
      <sz val="5"/>
      <name val="Calibri"/>
      <family val="2"/>
      <scheme val="minor"/>
    </font>
    <font>
      <b/>
      <u/>
      <sz val="10"/>
      <name val="Arial"/>
      <family val="2"/>
    </font>
    <font>
      <b/>
      <sz val="10"/>
      <color theme="5"/>
      <name val="Arial"/>
      <family val="2"/>
    </font>
    <font>
      <b/>
      <sz val="10"/>
      <color theme="6"/>
      <name val="Arial"/>
      <family val="2"/>
    </font>
    <font>
      <b/>
      <sz val="11"/>
      <name val="Arial"/>
      <family val="2"/>
    </font>
    <font>
      <b/>
      <sz val="9.5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theme="0" tint="-0.1499984740745262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71B5"/>
      <name val="Calibri"/>
      <family val="2"/>
      <scheme val="minor"/>
    </font>
    <font>
      <b/>
      <sz val="9"/>
      <color rgb="FF0071B5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8.5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i/>
      <sz val="9"/>
      <color theme="1" tint="0.34998626667073579"/>
      <name val="Calibri"/>
      <family val="2"/>
      <scheme val="minor"/>
    </font>
    <font>
      <sz val="5"/>
      <color theme="1" tint="0.34998626667073579"/>
      <name val="Calibri"/>
      <family val="2"/>
      <scheme val="minor"/>
    </font>
    <font>
      <sz val="8.5"/>
      <color theme="1" tint="0.34998626667073579"/>
      <name val="Calibri"/>
      <family val="2"/>
      <scheme val="minor"/>
    </font>
    <font>
      <sz val="8.5"/>
      <color theme="1" tint="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7EBD6"/>
        <bgColor indexed="64"/>
      </patternFill>
    </fill>
    <fill>
      <patternFill patternType="solid">
        <fgColor rgb="FF0071B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71B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9" fontId="36" fillId="0" borderId="0" applyFont="0" applyFill="0" applyBorder="0" applyAlignment="0" applyProtection="0"/>
  </cellStyleXfs>
  <cellXfs count="376">
    <xf numFmtId="0" fontId="0" fillId="0" borderId="0" xfId="0"/>
    <xf numFmtId="0" fontId="0" fillId="0" borderId="0" xfId="0" applyFill="1"/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5" fillId="2" borderId="0" xfId="0" applyFont="1" applyFill="1" applyBorder="1" applyProtection="1"/>
    <xf numFmtId="0" fontId="2" fillId="2" borderId="7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/>
    <xf numFmtId="0" fontId="4" fillId="2" borderId="13" xfId="0" applyFont="1" applyFill="1" applyBorder="1" applyAlignment="1" applyProtection="1">
      <alignment vertical="center"/>
    </xf>
    <xf numFmtId="2" fontId="4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/>
    </xf>
    <xf numFmtId="14" fontId="4" fillId="2" borderId="0" xfId="0" applyNumberFormat="1" applyFont="1" applyFill="1" applyBorder="1" applyAlignment="1" applyProtection="1">
      <alignment horizontal="left"/>
    </xf>
    <xf numFmtId="3" fontId="4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Protection="1"/>
    <xf numFmtId="0" fontId="4" fillId="0" borderId="0" xfId="0" applyFont="1" applyFill="1" applyProtection="1"/>
    <xf numFmtId="0" fontId="6" fillId="2" borderId="0" xfId="0" applyFont="1" applyFill="1" applyBorder="1" applyProtection="1"/>
    <xf numFmtId="0" fontId="4" fillId="2" borderId="0" xfId="0" applyFont="1" applyFill="1" applyBorder="1" applyAlignment="1" applyProtection="1">
      <alignment horizontal="right"/>
    </xf>
    <xf numFmtId="0" fontId="0" fillId="0" borderId="0" xfId="0" applyProtection="1"/>
    <xf numFmtId="14" fontId="4" fillId="2" borderId="13" xfId="0" applyNumberFormat="1" applyFont="1" applyFill="1" applyBorder="1" applyAlignment="1" applyProtection="1">
      <alignment vertical="center" wrapText="1"/>
    </xf>
    <xf numFmtId="14" fontId="4" fillId="2" borderId="13" xfId="0" applyNumberFormat="1" applyFont="1" applyFill="1" applyBorder="1" applyAlignment="1" applyProtection="1">
      <alignment vertical="center"/>
    </xf>
    <xf numFmtId="14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/>
    <xf numFmtId="0" fontId="6" fillId="2" borderId="0" xfId="0" applyFont="1" applyFill="1" applyProtection="1"/>
    <xf numFmtId="0" fontId="6" fillId="2" borderId="0" xfId="0" applyFont="1" applyFill="1" applyBorder="1" applyAlignment="1" applyProtection="1"/>
    <xf numFmtId="0" fontId="6" fillId="0" borderId="0" xfId="0" applyFont="1" applyBorder="1" applyProtection="1"/>
    <xf numFmtId="0" fontId="15" fillId="2" borderId="0" xfId="0" applyFont="1" applyFill="1" applyBorder="1" applyAlignment="1" applyProtection="1">
      <alignment wrapText="1"/>
    </xf>
    <xf numFmtId="14" fontId="6" fillId="2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7" borderId="0" xfId="0" applyNumberFormat="1" applyFill="1" applyAlignment="1">
      <alignment horizontal="center"/>
    </xf>
    <xf numFmtId="165" fontId="0" fillId="8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165" fontId="0" fillId="10" borderId="0" xfId="0" applyNumberFormat="1" applyFill="1" applyAlignment="1">
      <alignment horizontal="center"/>
    </xf>
    <xf numFmtId="165" fontId="0" fillId="11" borderId="0" xfId="0" applyNumberFormat="1" applyFill="1" applyBorder="1" applyAlignment="1">
      <alignment horizontal="center"/>
    </xf>
    <xf numFmtId="165" fontId="0" fillId="11" borderId="0" xfId="0" applyNumberFormat="1" applyFill="1" applyAlignment="1">
      <alignment horizontal="center"/>
    </xf>
    <xf numFmtId="165" fontId="0" fillId="1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4" fillId="0" borderId="0" xfId="0" applyFont="1"/>
    <xf numFmtId="0" fontId="25" fillId="12" borderId="0" xfId="0" applyFont="1" applyFill="1" applyAlignment="1">
      <alignment vertical="center"/>
    </xf>
    <xf numFmtId="0" fontId="25" fillId="12" borderId="0" xfId="0" applyFont="1" applyFill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25" fillId="3" borderId="0" xfId="0" applyFont="1" applyFill="1" applyAlignment="1">
      <alignment horizontal="center" vertical="center"/>
    </xf>
    <xf numFmtId="0" fontId="31" fillId="12" borderId="0" xfId="0" applyFont="1" applyFill="1" applyAlignment="1">
      <alignment horizontal="center"/>
    </xf>
    <xf numFmtId="0" fontId="32" fillId="12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5" fillId="14" borderId="0" xfId="0" applyFont="1" applyFill="1" applyAlignment="1">
      <alignment vertical="center"/>
    </xf>
    <xf numFmtId="0" fontId="25" fillId="14" borderId="0" xfId="0" applyFont="1" applyFill="1" applyAlignment="1">
      <alignment horizontal="center" vertical="center"/>
    </xf>
    <xf numFmtId="0" fontId="31" fillId="14" borderId="0" xfId="0" applyFont="1" applyFill="1" applyAlignment="1">
      <alignment horizontal="center"/>
    </xf>
    <xf numFmtId="0" fontId="2" fillId="2" borderId="23" xfId="0" applyFont="1" applyFill="1" applyBorder="1" applyAlignment="1" applyProtection="1">
      <alignment horizontal="left"/>
    </xf>
    <xf numFmtId="0" fontId="2" fillId="2" borderId="24" xfId="0" applyFont="1" applyFill="1" applyBorder="1" applyAlignment="1" applyProtection="1">
      <alignment horizontal="left"/>
    </xf>
    <xf numFmtId="0" fontId="13" fillId="2" borderId="24" xfId="0" applyFont="1" applyFill="1" applyBorder="1" applyAlignment="1" applyProtection="1">
      <alignment horizontal="left"/>
    </xf>
    <xf numFmtId="165" fontId="0" fillId="0" borderId="0" xfId="0" applyNumberFormat="1" applyFill="1" applyAlignment="1">
      <alignment horizontal="center"/>
    </xf>
    <xf numFmtId="0" fontId="24" fillId="2" borderId="0" xfId="0" applyFont="1" applyFill="1"/>
    <xf numFmtId="0" fontId="21" fillId="2" borderId="0" xfId="0" applyFont="1" applyFill="1"/>
    <xf numFmtId="0" fontId="0" fillId="2" borderId="0" xfId="0" applyFill="1" applyBorder="1"/>
    <xf numFmtId="0" fontId="0" fillId="2" borderId="6" xfId="0" applyFill="1" applyBorder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/>
    <xf numFmtId="2" fontId="0" fillId="2" borderId="0" xfId="0" applyNumberForma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1" fontId="0" fillId="2" borderId="0" xfId="0" applyNumberFormat="1" applyFill="1" applyBorder="1" applyAlignment="1"/>
    <xf numFmtId="165" fontId="0" fillId="2" borderId="0" xfId="0" applyNumberForma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" fontId="2" fillId="2" borderId="0" xfId="0" applyNumberFormat="1" applyFont="1" applyFill="1" applyBorder="1" applyAlignment="1" applyProtection="1">
      <alignment vertical="center"/>
    </xf>
    <xf numFmtId="49" fontId="29" fillId="2" borderId="22" xfId="0" applyNumberFormat="1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/>
    <xf numFmtId="0" fontId="19" fillId="0" borderId="0" xfId="0" applyFont="1" applyFill="1"/>
    <xf numFmtId="0" fontId="24" fillId="0" borderId="0" xfId="0" applyFont="1" applyFill="1"/>
    <xf numFmtId="0" fontId="17" fillId="0" borderId="0" xfId="0" applyFont="1" applyFill="1" applyAlignment="1">
      <alignment horizontal="center" vertical="center" textRotation="90"/>
    </xf>
    <xf numFmtId="1" fontId="0" fillId="0" borderId="0" xfId="0" applyNumberFormat="1" applyFill="1" applyBorder="1" applyAlignment="1"/>
    <xf numFmtId="0" fontId="25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0" xfId="0" applyNumberFormat="1" applyFont="1"/>
    <xf numFmtId="165" fontId="4" fillId="0" borderId="0" xfId="1" applyNumberFormat="1" applyFont="1"/>
    <xf numFmtId="0" fontId="16" fillId="4" borderId="29" xfId="0" applyFont="1" applyFill="1" applyBorder="1" applyAlignment="1">
      <alignment horizontal="center"/>
    </xf>
    <xf numFmtId="2" fontId="0" fillId="4" borderId="35" xfId="0" applyNumberFormat="1" applyFont="1" applyFill="1" applyBorder="1" applyAlignment="1">
      <alignment horizontal="center"/>
    </xf>
    <xf numFmtId="2" fontId="0" fillId="4" borderId="36" xfId="0" applyNumberFormat="1" applyFont="1" applyFill="1" applyBorder="1" applyAlignment="1">
      <alignment horizontal="center"/>
    </xf>
    <xf numFmtId="2" fontId="0" fillId="4" borderId="37" xfId="0" applyNumberFormat="1" applyFont="1" applyFill="1" applyBorder="1" applyAlignment="1">
      <alignment horizontal="center"/>
    </xf>
    <xf numFmtId="2" fontId="0" fillId="4" borderId="38" xfId="0" applyNumberFormat="1" applyFont="1" applyFill="1" applyBorder="1" applyAlignment="1">
      <alignment horizontal="center"/>
    </xf>
    <xf numFmtId="2" fontId="0" fillId="4" borderId="39" xfId="0" applyNumberFormat="1" applyFont="1" applyFill="1" applyBorder="1" applyAlignment="1">
      <alignment horizontal="center"/>
    </xf>
    <xf numFmtId="2" fontId="0" fillId="4" borderId="40" xfId="0" applyNumberFormat="1" applyFont="1" applyFill="1" applyBorder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10" fontId="37" fillId="15" borderId="16" xfId="0" applyNumberFormat="1" applyFont="1" applyFill="1" applyBorder="1" applyAlignment="1">
      <alignment horizontal="center" vertical="center"/>
    </xf>
    <xf numFmtId="10" fontId="37" fillId="15" borderId="17" xfId="0" applyNumberFormat="1" applyFont="1" applyFill="1" applyBorder="1" applyAlignment="1">
      <alignment horizontal="center" vertical="center"/>
    </xf>
    <xf numFmtId="1" fontId="37" fillId="15" borderId="1" xfId="0" applyNumberFormat="1" applyFont="1" applyFill="1" applyBorder="1" applyAlignment="1">
      <alignment horizontal="center" vertical="center"/>
    </xf>
    <xf numFmtId="1" fontId="37" fillId="15" borderId="19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/>
    </xf>
    <xf numFmtId="1" fontId="16" fillId="15" borderId="30" xfId="0" applyNumberFormat="1" applyFont="1" applyFill="1" applyBorder="1" applyAlignment="1">
      <alignment horizontal="center" vertical="center"/>
    </xf>
    <xf numFmtId="2" fontId="0" fillId="15" borderId="35" xfId="0" applyNumberFormat="1" applyFont="1" applyFill="1" applyBorder="1" applyAlignment="1">
      <alignment horizontal="center"/>
    </xf>
    <xf numFmtId="2" fontId="0" fillId="15" borderId="36" xfId="0" applyNumberFormat="1" applyFont="1" applyFill="1" applyBorder="1" applyAlignment="1">
      <alignment horizontal="center"/>
    </xf>
    <xf numFmtId="2" fontId="0" fillId="15" borderId="37" xfId="0" applyNumberFormat="1" applyFont="1" applyFill="1" applyBorder="1" applyAlignment="1">
      <alignment horizontal="center"/>
    </xf>
    <xf numFmtId="2" fontId="0" fillId="15" borderId="38" xfId="0" applyNumberFormat="1" applyFont="1" applyFill="1" applyBorder="1" applyAlignment="1">
      <alignment horizontal="center"/>
    </xf>
    <xf numFmtId="2" fontId="0" fillId="15" borderId="39" xfId="0" applyNumberFormat="1" applyFont="1" applyFill="1" applyBorder="1" applyAlignment="1">
      <alignment horizontal="center"/>
    </xf>
    <xf numFmtId="2" fontId="0" fillId="15" borderId="40" xfId="0" applyNumberFormat="1" applyFont="1" applyFill="1" applyBorder="1" applyAlignment="1">
      <alignment horizontal="center"/>
    </xf>
    <xf numFmtId="2" fontId="24" fillId="15" borderId="39" xfId="0" applyNumberFormat="1" applyFont="1" applyFill="1" applyBorder="1" applyAlignment="1">
      <alignment horizontal="center"/>
    </xf>
    <xf numFmtId="1" fontId="37" fillId="0" borderId="1" xfId="0" applyNumberFormat="1" applyFont="1" applyFill="1" applyBorder="1" applyAlignment="1">
      <alignment horizontal="center" vertical="center"/>
    </xf>
    <xf numFmtId="1" fontId="37" fillId="0" borderId="19" xfId="0" applyNumberFormat="1" applyFont="1" applyFill="1" applyBorder="1" applyAlignment="1">
      <alignment horizontal="center" vertical="center"/>
    </xf>
    <xf numFmtId="0" fontId="41" fillId="2" borderId="0" xfId="0" applyFont="1" applyFill="1" applyBorder="1" applyProtection="1"/>
    <xf numFmtId="0" fontId="42" fillId="2" borderId="0" xfId="0" applyFont="1" applyFill="1" applyBorder="1" applyAlignment="1" applyProtection="1">
      <alignment vertical="center"/>
    </xf>
    <xf numFmtId="0" fontId="42" fillId="2" borderId="0" xfId="0" applyFont="1" applyFill="1" applyAlignment="1" applyProtection="1">
      <alignment vertical="center"/>
    </xf>
    <xf numFmtId="0" fontId="40" fillId="2" borderId="0" xfId="0" applyFont="1" applyFill="1" applyBorder="1" applyProtection="1"/>
    <xf numFmtId="1" fontId="42" fillId="2" borderId="0" xfId="0" applyNumberFormat="1" applyFont="1" applyFill="1" applyBorder="1" applyProtection="1"/>
    <xf numFmtId="0" fontId="42" fillId="2" borderId="0" xfId="0" applyFont="1" applyFill="1" applyBorder="1" applyAlignment="1" applyProtection="1"/>
    <xf numFmtId="0" fontId="39" fillId="2" borderId="0" xfId="0" applyFont="1" applyFill="1" applyBorder="1" applyProtection="1"/>
    <xf numFmtId="0" fontId="0" fillId="2" borderId="0" xfId="0" applyFill="1" applyProtection="1"/>
    <xf numFmtId="0" fontId="11" fillId="2" borderId="0" xfId="0" applyFont="1" applyFill="1" applyProtection="1"/>
    <xf numFmtId="0" fontId="14" fillId="0" borderId="0" xfId="0" applyFont="1" applyFill="1" applyProtection="1"/>
    <xf numFmtId="0" fontId="0" fillId="0" borderId="0" xfId="0" applyFill="1" applyProtection="1"/>
    <xf numFmtId="0" fontId="35" fillId="0" borderId="0" xfId="0" applyFont="1" applyFill="1" applyAlignment="1" applyProtection="1">
      <alignment horizontal="center"/>
    </xf>
    <xf numFmtId="0" fontId="14" fillId="0" borderId="0" xfId="0" applyFont="1" applyProtection="1"/>
    <xf numFmtId="0" fontId="14" fillId="2" borderId="0" xfId="0" applyFont="1" applyFill="1" applyProtection="1"/>
    <xf numFmtId="0" fontId="12" fillId="0" borderId="0" xfId="0" applyFont="1" applyProtection="1"/>
    <xf numFmtId="1" fontId="39" fillId="2" borderId="0" xfId="0" applyNumberFormat="1" applyFont="1" applyFill="1" applyBorder="1" applyProtection="1"/>
    <xf numFmtId="0" fontId="39" fillId="0" borderId="0" xfId="0" applyFont="1" applyProtection="1"/>
    <xf numFmtId="0" fontId="40" fillId="0" borderId="0" xfId="0" applyFont="1" applyProtection="1"/>
    <xf numFmtId="0" fontId="43" fillId="2" borderId="0" xfId="0" applyFont="1" applyFill="1"/>
    <xf numFmtId="0" fontId="43" fillId="0" borderId="0" xfId="0" applyFont="1" applyFill="1"/>
    <xf numFmtId="0" fontId="43" fillId="0" borderId="0" xfId="0" applyFont="1"/>
    <xf numFmtId="0" fontId="44" fillId="2" borderId="0" xfId="0" applyFont="1" applyFill="1" applyProtection="1"/>
    <xf numFmtId="0" fontId="45" fillId="2" borderId="0" xfId="0" applyFont="1" applyFill="1" applyBorder="1" applyAlignment="1" applyProtection="1">
      <alignment vertical="center"/>
    </xf>
    <xf numFmtId="0" fontId="43" fillId="2" borderId="0" xfId="0" applyFont="1" applyFill="1" applyProtection="1"/>
    <xf numFmtId="0" fontId="20" fillId="2" borderId="0" xfId="0" applyFont="1" applyFill="1" applyProtection="1"/>
    <xf numFmtId="0" fontId="46" fillId="0" borderId="0" xfId="0" applyFont="1" applyFill="1" applyProtection="1"/>
    <xf numFmtId="0" fontId="47" fillId="0" borderId="0" xfId="0" applyFont="1" applyFill="1" applyProtection="1"/>
    <xf numFmtId="0" fontId="43" fillId="0" borderId="0" xfId="0" applyFont="1" applyFill="1" applyProtection="1"/>
    <xf numFmtId="0" fontId="43" fillId="0" borderId="0" xfId="0" applyFont="1" applyProtection="1"/>
    <xf numFmtId="0" fontId="44" fillId="2" borderId="0" xfId="0" applyFont="1" applyFill="1" applyBorder="1" applyProtection="1"/>
    <xf numFmtId="0" fontId="44" fillId="2" borderId="0" xfId="0" applyFont="1" applyFill="1" applyBorder="1" applyAlignment="1" applyProtection="1">
      <alignment horizontal="center" vertical="center"/>
    </xf>
    <xf numFmtId="0" fontId="48" fillId="2" borderId="0" xfId="0" applyFont="1" applyFill="1" applyBorder="1" applyProtection="1"/>
    <xf numFmtId="0" fontId="49" fillId="0" borderId="0" xfId="0" applyFont="1" applyFill="1" applyAlignment="1" applyProtection="1">
      <alignment horizontal="center"/>
    </xf>
    <xf numFmtId="0" fontId="50" fillId="0" borderId="0" xfId="0" applyFont="1" applyFill="1" applyProtection="1"/>
    <xf numFmtId="0" fontId="51" fillId="0" borderId="0" xfId="0" applyFont="1" applyFill="1" applyProtection="1"/>
    <xf numFmtId="0" fontId="44" fillId="2" borderId="0" xfId="0" applyFont="1" applyFill="1" applyBorder="1" applyAlignment="1" applyProtection="1">
      <alignment horizontal="right"/>
    </xf>
    <xf numFmtId="0" fontId="50" fillId="2" borderId="0" xfId="0" applyFont="1" applyFill="1" applyBorder="1" applyProtection="1"/>
    <xf numFmtId="0" fontId="45" fillId="2" borderId="0" xfId="0" applyFont="1" applyFill="1" applyBorder="1" applyAlignment="1" applyProtection="1">
      <alignment horizontal="left"/>
    </xf>
    <xf numFmtId="0" fontId="45" fillId="2" borderId="0" xfId="0" applyFont="1" applyFill="1" applyBorder="1" applyAlignment="1" applyProtection="1">
      <alignment horizontal="right"/>
    </xf>
    <xf numFmtId="14" fontId="44" fillId="2" borderId="0" xfId="0" applyNumberFormat="1" applyFont="1" applyFill="1" applyBorder="1" applyAlignment="1" applyProtection="1">
      <alignment horizontal="left"/>
    </xf>
    <xf numFmtId="0" fontId="45" fillId="2" borderId="0" xfId="0" applyFont="1" applyFill="1" applyBorder="1" applyAlignment="1" applyProtection="1">
      <alignment horizontal="center"/>
    </xf>
    <xf numFmtId="0" fontId="52" fillId="2" borderId="0" xfId="0" applyFont="1" applyFill="1" applyBorder="1" applyProtection="1"/>
    <xf numFmtId="0" fontId="48" fillId="2" borderId="0" xfId="0" applyFont="1" applyFill="1" applyProtection="1"/>
    <xf numFmtId="3" fontId="44" fillId="2" borderId="0" xfId="0" applyNumberFormat="1" applyFont="1" applyFill="1" applyBorder="1" applyAlignment="1" applyProtection="1">
      <alignment horizontal="center"/>
    </xf>
    <xf numFmtId="0" fontId="53" fillId="2" borderId="0" xfId="0" applyFont="1" applyFill="1" applyBorder="1" applyAlignment="1" applyProtection="1">
      <alignment vertical="center"/>
    </xf>
    <xf numFmtId="0" fontId="53" fillId="2" borderId="0" xfId="0" applyFont="1" applyFill="1" applyAlignment="1" applyProtection="1">
      <alignment vertical="center"/>
    </xf>
    <xf numFmtId="0" fontId="54" fillId="2" borderId="0" xfId="0" applyFont="1" applyFill="1" applyBorder="1" applyAlignment="1" applyProtection="1">
      <alignment horizontal="left"/>
    </xf>
    <xf numFmtId="0" fontId="51" fillId="2" borderId="0" xfId="0" applyFont="1" applyFill="1" applyBorder="1" applyProtection="1"/>
    <xf numFmtId="0" fontId="44" fillId="0" borderId="0" xfId="0" applyFont="1" applyFill="1" applyProtection="1"/>
    <xf numFmtId="1" fontId="53" fillId="2" borderId="0" xfId="0" applyNumberFormat="1" applyFont="1" applyFill="1" applyBorder="1" applyProtection="1"/>
    <xf numFmtId="1" fontId="55" fillId="2" borderId="0" xfId="0" applyNumberFormat="1" applyFont="1" applyFill="1" applyBorder="1" applyProtection="1"/>
    <xf numFmtId="0" fontId="44" fillId="2" borderId="0" xfId="0" applyFont="1" applyFill="1" applyBorder="1" applyAlignment="1" applyProtection="1"/>
    <xf numFmtId="0" fontId="48" fillId="2" borderId="0" xfId="0" applyFont="1" applyFill="1" applyBorder="1" applyAlignment="1" applyProtection="1"/>
    <xf numFmtId="0" fontId="56" fillId="2" borderId="0" xfId="0" applyFont="1" applyFill="1" applyBorder="1" applyAlignment="1" applyProtection="1"/>
    <xf numFmtId="0" fontId="46" fillId="0" borderId="0" xfId="0" applyFont="1" applyProtection="1"/>
    <xf numFmtId="0" fontId="46" fillId="2" borderId="0" xfId="0" applyFont="1" applyFill="1" applyProtection="1"/>
    <xf numFmtId="0" fontId="53" fillId="2" borderId="0" xfId="0" applyFont="1" applyFill="1" applyBorder="1" applyAlignment="1" applyProtection="1"/>
    <xf numFmtId="0" fontId="47" fillId="0" borderId="0" xfId="0" applyFont="1" applyProtection="1"/>
    <xf numFmtId="14" fontId="44" fillId="2" borderId="0" xfId="0" applyNumberFormat="1" applyFont="1" applyFill="1" applyBorder="1" applyAlignment="1" applyProtection="1">
      <alignment horizontal="center" vertical="center"/>
    </xf>
    <xf numFmtId="2" fontId="44" fillId="2" borderId="0" xfId="0" applyNumberFormat="1" applyFont="1" applyFill="1" applyBorder="1" applyAlignment="1" applyProtection="1">
      <alignment horizontal="center"/>
    </xf>
    <xf numFmtId="0" fontId="44" fillId="2" borderId="0" xfId="0" applyFont="1" applyFill="1" applyBorder="1" applyAlignment="1" applyProtection="1">
      <alignment vertical="center"/>
    </xf>
    <xf numFmtId="0" fontId="48" fillId="0" borderId="0" xfId="0" applyFont="1" applyBorder="1" applyProtection="1"/>
    <xf numFmtId="0" fontId="55" fillId="2" borderId="0" xfId="0" applyFont="1" applyFill="1" applyBorder="1" applyAlignment="1" applyProtection="1">
      <alignment wrapText="1"/>
    </xf>
    <xf numFmtId="14" fontId="48" fillId="2" borderId="0" xfId="0" applyNumberFormat="1" applyFont="1" applyFill="1" applyBorder="1" applyAlignment="1" applyProtection="1">
      <alignment horizontal="left"/>
    </xf>
    <xf numFmtId="0" fontId="43" fillId="2" borderId="0" xfId="0" applyFont="1" applyFill="1" applyAlignment="1" applyProtection="1">
      <alignment vertical="center"/>
    </xf>
    <xf numFmtId="0" fontId="43" fillId="2" borderId="0" xfId="0" applyFont="1" applyFill="1" applyAlignment="1" applyProtection="1"/>
    <xf numFmtId="10" fontId="58" fillId="2" borderId="0" xfId="0" applyNumberFormat="1" applyFont="1" applyFill="1" applyAlignment="1" applyProtection="1"/>
    <xf numFmtId="0" fontId="43" fillId="0" borderId="0" xfId="0" applyFont="1" applyFill="1" applyAlignment="1" applyProtection="1"/>
    <xf numFmtId="10" fontId="58" fillId="0" borderId="0" xfId="0" applyNumberFormat="1" applyFont="1" applyFill="1" applyAlignment="1" applyProtection="1"/>
    <xf numFmtId="0" fontId="60" fillId="2" borderId="41" xfId="0" applyFont="1" applyFill="1" applyBorder="1" applyAlignment="1" applyProtection="1">
      <alignment horizontal="left"/>
    </xf>
    <xf numFmtId="0" fontId="45" fillId="2" borderId="41" xfId="0" applyFont="1" applyFill="1" applyBorder="1" applyAlignment="1" applyProtection="1">
      <alignment horizontal="left"/>
    </xf>
    <xf numFmtId="0" fontId="44" fillId="2" borderId="41" xfId="0" applyFont="1" applyFill="1" applyBorder="1" applyAlignment="1" applyProtection="1">
      <alignment horizontal="left"/>
    </xf>
    <xf numFmtId="0" fontId="44" fillId="2" borderId="41" xfId="0" applyFont="1" applyFill="1" applyBorder="1" applyProtection="1"/>
    <xf numFmtId="0" fontId="48" fillId="2" borderId="41" xfId="0" applyFont="1" applyFill="1" applyBorder="1" applyProtection="1"/>
    <xf numFmtId="0" fontId="61" fillId="2" borderId="0" xfId="0" applyFont="1" applyFill="1" applyBorder="1" applyAlignment="1" applyProtection="1">
      <alignment horizontal="right" vertical="center"/>
    </xf>
    <xf numFmtId="0" fontId="61" fillId="2" borderId="0" xfId="0" applyFont="1" applyFill="1" applyBorder="1" applyAlignment="1" applyProtection="1">
      <alignment vertical="center"/>
    </xf>
    <xf numFmtId="0" fontId="61" fillId="2" borderId="0" xfId="0" applyFont="1" applyFill="1" applyBorder="1" applyAlignment="1" applyProtection="1">
      <alignment horizontal="left"/>
    </xf>
    <xf numFmtId="0" fontId="62" fillId="2" borderId="0" xfId="0" applyFont="1" applyFill="1" applyBorder="1" applyAlignment="1" applyProtection="1">
      <alignment horizontal="left"/>
    </xf>
    <xf numFmtId="0" fontId="64" fillId="2" borderId="0" xfId="0" applyFont="1" applyFill="1" applyBorder="1" applyAlignment="1" applyProtection="1">
      <alignment horizontal="left" vertical="top"/>
    </xf>
    <xf numFmtId="0" fontId="61" fillId="0" borderId="0" xfId="0" applyFont="1" applyFill="1" applyBorder="1" applyAlignment="1" applyProtection="1">
      <alignment horizontal="left"/>
    </xf>
    <xf numFmtId="0" fontId="61" fillId="2" borderId="0" xfId="0" applyFont="1" applyFill="1" applyBorder="1" applyProtection="1"/>
    <xf numFmtId="14" fontId="44" fillId="2" borderId="0" xfId="0" applyNumberFormat="1" applyFont="1" applyFill="1" applyBorder="1" applyAlignment="1" applyProtection="1">
      <alignment vertical="center" wrapText="1"/>
    </xf>
    <xf numFmtId="14" fontId="44" fillId="2" borderId="0" xfId="0" applyNumberFormat="1" applyFont="1" applyFill="1" applyBorder="1" applyAlignment="1" applyProtection="1">
      <alignment vertical="center"/>
    </xf>
    <xf numFmtId="0" fontId="43" fillId="2" borderId="0" xfId="0" applyFont="1" applyFill="1" applyBorder="1" applyAlignment="1" applyProtection="1">
      <alignment vertical="center"/>
    </xf>
    <xf numFmtId="49" fontId="65" fillId="12" borderId="0" xfId="0" applyNumberFormat="1" applyFont="1" applyFill="1" applyBorder="1" applyAlignment="1" applyProtection="1">
      <alignment horizontal="center" vertical="center"/>
    </xf>
    <xf numFmtId="3" fontId="45" fillId="0" borderId="3" xfId="0" applyNumberFormat="1" applyFont="1" applyFill="1" applyBorder="1" applyAlignment="1" applyProtection="1">
      <alignment horizontal="center" vertical="center"/>
    </xf>
    <xf numFmtId="3" fontId="45" fillId="0" borderId="4" xfId="0" applyNumberFormat="1" applyFont="1" applyFill="1" applyBorder="1" applyAlignment="1" applyProtection="1">
      <alignment horizontal="center" vertical="center"/>
    </xf>
    <xf numFmtId="3" fontId="45" fillId="0" borderId="5" xfId="0" applyNumberFormat="1" applyFont="1" applyFill="1" applyBorder="1" applyAlignment="1" applyProtection="1">
      <alignment horizontal="center" vertical="center"/>
    </xf>
    <xf numFmtId="0" fontId="63" fillId="12" borderId="42" xfId="0" applyFont="1" applyFill="1" applyBorder="1" applyAlignment="1" applyProtection="1">
      <alignment horizontal="center" vertical="center"/>
    </xf>
    <xf numFmtId="14" fontId="66" fillId="12" borderId="43" xfId="0" applyNumberFormat="1" applyFont="1" applyFill="1" applyBorder="1" applyAlignment="1" applyProtection="1">
      <alignment horizontal="center" vertical="center"/>
    </xf>
    <xf numFmtId="14" fontId="66" fillId="12" borderId="44" xfId="0" applyNumberFormat="1" applyFont="1" applyFill="1" applyBorder="1" applyAlignment="1" applyProtection="1">
      <alignment horizontal="center" vertical="center"/>
    </xf>
    <xf numFmtId="0" fontId="44" fillId="2" borderId="0" xfId="0" applyFont="1" applyFill="1" applyBorder="1" applyAlignment="1" applyProtection="1">
      <alignment horizontal="center" vertical="center"/>
    </xf>
    <xf numFmtId="0" fontId="63" fillId="12" borderId="0" xfId="0" applyFont="1" applyFill="1" applyBorder="1" applyAlignment="1" applyProtection="1">
      <alignment horizontal="center" vertical="center"/>
    </xf>
    <xf numFmtId="0" fontId="61" fillId="12" borderId="45" xfId="0" applyFont="1" applyFill="1" applyBorder="1" applyAlignment="1" applyProtection="1">
      <alignment horizontal="left" vertical="center"/>
    </xf>
    <xf numFmtId="0" fontId="61" fillId="12" borderId="42" xfId="0" applyFont="1" applyFill="1" applyBorder="1" applyAlignment="1" applyProtection="1">
      <alignment horizontal="left" vertical="center"/>
    </xf>
    <xf numFmtId="0" fontId="63" fillId="12" borderId="56" xfId="0" applyFont="1" applyFill="1" applyBorder="1" applyAlignment="1" applyProtection="1">
      <alignment horizontal="center" vertical="center"/>
    </xf>
    <xf numFmtId="3" fontId="61" fillId="12" borderId="42" xfId="0" applyNumberFormat="1" applyFont="1" applyFill="1" applyBorder="1" applyAlignment="1" applyProtection="1">
      <alignment horizontal="center" vertical="center"/>
    </xf>
    <xf numFmtId="3" fontId="61" fillId="12" borderId="43" xfId="0" applyNumberFormat="1" applyFont="1" applyFill="1" applyBorder="1" applyAlignment="1" applyProtection="1">
      <alignment horizontal="center" vertical="center"/>
    </xf>
    <xf numFmtId="0" fontId="63" fillId="12" borderId="43" xfId="0" applyFont="1" applyFill="1" applyBorder="1" applyAlignment="1" applyProtection="1">
      <alignment horizontal="center" vertical="center"/>
    </xf>
    <xf numFmtId="0" fontId="61" fillId="12" borderId="45" xfId="0" applyFont="1" applyFill="1" applyBorder="1" applyAlignment="1" applyProtection="1">
      <alignment horizontal="center" vertical="center"/>
    </xf>
    <xf numFmtId="0" fontId="61" fillId="12" borderId="42" xfId="0" applyFont="1" applyFill="1" applyBorder="1" applyAlignment="1" applyProtection="1">
      <alignment horizontal="center" vertical="center"/>
    </xf>
    <xf numFmtId="0" fontId="61" fillId="3" borderId="48" xfId="0" applyFont="1" applyFill="1" applyBorder="1" applyAlignment="1" applyProtection="1">
      <alignment horizontal="center" vertical="center"/>
    </xf>
    <xf numFmtId="0" fontId="61" fillId="3" borderId="52" xfId="0" applyFont="1" applyFill="1" applyBorder="1" applyAlignment="1" applyProtection="1">
      <alignment horizontal="center" vertical="center"/>
    </xf>
    <xf numFmtId="0" fontId="61" fillId="3" borderId="46" xfId="0" applyFont="1" applyFill="1" applyBorder="1" applyAlignment="1" applyProtection="1">
      <alignment horizontal="center" vertical="center"/>
    </xf>
    <xf numFmtId="3" fontId="53" fillId="2" borderId="0" xfId="0" applyNumberFormat="1" applyFont="1" applyFill="1" applyBorder="1" applyAlignment="1" applyProtection="1">
      <alignment horizontal="center"/>
    </xf>
    <xf numFmtId="0" fontId="53" fillId="2" borderId="0" xfId="0" applyFont="1" applyFill="1" applyBorder="1" applyAlignment="1" applyProtection="1">
      <alignment horizontal="center"/>
    </xf>
    <xf numFmtId="0" fontId="57" fillId="2" borderId="0" xfId="0" applyFont="1" applyFill="1" applyBorder="1" applyAlignment="1" applyProtection="1">
      <alignment horizontal="center" wrapText="1"/>
    </xf>
    <xf numFmtId="0" fontId="61" fillId="12" borderId="43" xfId="0" applyFont="1" applyFill="1" applyBorder="1" applyAlignment="1" applyProtection="1">
      <alignment horizontal="center" vertical="center"/>
    </xf>
    <xf numFmtId="0" fontId="61" fillId="12" borderId="44" xfId="0" applyFont="1" applyFill="1" applyBorder="1" applyAlignment="1" applyProtection="1">
      <alignment horizontal="center" vertical="center"/>
    </xf>
    <xf numFmtId="0" fontId="57" fillId="2" borderId="0" xfId="0" applyFont="1" applyFill="1" applyBorder="1" applyAlignment="1" applyProtection="1">
      <alignment horizontal="center" vertical="center" wrapText="1"/>
    </xf>
    <xf numFmtId="164" fontId="50" fillId="2" borderId="0" xfId="0" applyNumberFormat="1" applyFont="1" applyFill="1" applyBorder="1" applyAlignment="1" applyProtection="1">
      <alignment horizontal="center"/>
    </xf>
    <xf numFmtId="164" fontId="50" fillId="2" borderId="9" xfId="0" applyNumberFormat="1" applyFont="1" applyFill="1" applyBorder="1" applyAlignment="1" applyProtection="1">
      <alignment horizontal="center"/>
    </xf>
    <xf numFmtId="14" fontId="67" fillId="3" borderId="49" xfId="0" applyNumberFormat="1" applyFont="1" applyFill="1" applyBorder="1" applyAlignment="1" applyProtection="1">
      <alignment horizontal="center" vertical="center" wrapText="1"/>
    </xf>
    <xf numFmtId="14" fontId="67" fillId="3" borderId="50" xfId="0" applyNumberFormat="1" applyFont="1" applyFill="1" applyBorder="1" applyAlignment="1" applyProtection="1">
      <alignment horizontal="center" vertical="center" wrapText="1"/>
    </xf>
    <xf numFmtId="0" fontId="66" fillId="12" borderId="53" xfId="0" applyFont="1" applyFill="1" applyBorder="1" applyAlignment="1" applyProtection="1">
      <alignment horizontal="center" vertical="center"/>
    </xf>
    <xf numFmtId="0" fontId="66" fillId="12" borderId="54" xfId="0" applyFont="1" applyFill="1" applyBorder="1" applyAlignment="1" applyProtection="1">
      <alignment horizontal="center" vertical="center"/>
    </xf>
    <xf numFmtId="14" fontId="66" fillId="12" borderId="45" xfId="0" applyNumberFormat="1" applyFont="1" applyFill="1" applyBorder="1" applyAlignment="1" applyProtection="1">
      <alignment horizontal="center" vertical="center"/>
    </xf>
    <xf numFmtId="14" fontId="66" fillId="12" borderId="42" xfId="0" applyNumberFormat="1" applyFont="1" applyFill="1" applyBorder="1" applyAlignment="1" applyProtection="1">
      <alignment horizontal="center" vertical="center"/>
    </xf>
    <xf numFmtId="14" fontId="66" fillId="12" borderId="48" xfId="0" applyNumberFormat="1" applyFont="1" applyFill="1" applyBorder="1" applyAlignment="1" applyProtection="1">
      <alignment horizontal="center" vertical="center"/>
    </xf>
    <xf numFmtId="14" fontId="66" fillId="12" borderId="52" xfId="0" applyNumberFormat="1" applyFont="1" applyFill="1" applyBorder="1" applyAlignment="1" applyProtection="1">
      <alignment horizontal="center" vertical="center"/>
    </xf>
    <xf numFmtId="4" fontId="61" fillId="12" borderId="44" xfId="0" applyNumberFormat="1" applyFont="1" applyFill="1" applyBorder="1" applyAlignment="1" applyProtection="1">
      <alignment horizontal="center" vertical="center"/>
    </xf>
    <xf numFmtId="3" fontId="61" fillId="12" borderId="44" xfId="0" applyNumberFormat="1" applyFont="1" applyFill="1" applyBorder="1" applyAlignment="1" applyProtection="1">
      <alignment horizontal="center" vertical="center"/>
    </xf>
    <xf numFmtId="3" fontId="61" fillId="12" borderId="45" xfId="0" applyNumberFormat="1" applyFont="1" applyFill="1" applyBorder="1" applyAlignment="1" applyProtection="1">
      <alignment horizontal="center" vertical="center"/>
    </xf>
    <xf numFmtId="2" fontId="66" fillId="12" borderId="47" xfId="0" applyNumberFormat="1" applyFont="1" applyFill="1" applyBorder="1" applyAlignment="1" applyProtection="1">
      <alignment horizontal="center"/>
    </xf>
    <xf numFmtId="3" fontId="45" fillId="16" borderId="0" xfId="0" applyNumberFormat="1" applyFont="1" applyFill="1" applyBorder="1" applyAlignment="1" applyProtection="1">
      <alignment horizontal="center" vertical="center"/>
      <protection locked="0"/>
    </xf>
    <xf numFmtId="2" fontId="45" fillId="16" borderId="0" xfId="0" applyNumberFormat="1" applyFont="1" applyFill="1" applyBorder="1" applyAlignment="1" applyProtection="1">
      <alignment horizontal="center" vertical="center"/>
      <protection locked="0"/>
    </xf>
    <xf numFmtId="2" fontId="66" fillId="12" borderId="44" xfId="0" applyNumberFormat="1" applyFont="1" applyFill="1" applyBorder="1" applyAlignment="1" applyProtection="1">
      <alignment horizontal="center"/>
    </xf>
    <xf numFmtId="2" fontId="66" fillId="12" borderId="56" xfId="0" applyNumberFormat="1" applyFont="1" applyFill="1" applyBorder="1" applyAlignment="1" applyProtection="1">
      <alignment horizontal="center"/>
    </xf>
    <xf numFmtId="0" fontId="53" fillId="2" borderId="0" xfId="0" applyFont="1" applyFill="1" applyAlignment="1" applyProtection="1">
      <alignment horizontal="center" vertical="center"/>
    </xf>
    <xf numFmtId="0" fontId="44" fillId="16" borderId="44" xfId="0" applyFont="1" applyFill="1" applyBorder="1" applyAlignment="1" applyProtection="1">
      <alignment horizontal="left"/>
      <protection locked="0"/>
    </xf>
    <xf numFmtId="0" fontId="53" fillId="2" borderId="0" xfId="0" applyFont="1" applyFill="1" applyBorder="1" applyAlignment="1" applyProtection="1">
      <alignment horizontal="center" vertical="center"/>
    </xf>
    <xf numFmtId="14" fontId="66" fillId="12" borderId="55" xfId="0" applyNumberFormat="1" applyFont="1" applyFill="1" applyBorder="1" applyAlignment="1" applyProtection="1">
      <alignment horizontal="center" vertical="center"/>
    </xf>
    <xf numFmtId="14" fontId="66" fillId="12" borderId="56" xfId="0" applyNumberFormat="1" applyFont="1" applyFill="1" applyBorder="1" applyAlignment="1" applyProtection="1">
      <alignment horizontal="center" vertical="center"/>
    </xf>
    <xf numFmtId="1" fontId="53" fillId="2" borderId="0" xfId="0" applyNumberFormat="1" applyFont="1" applyFill="1" applyBorder="1" applyAlignment="1" applyProtection="1">
      <alignment horizontal="center"/>
    </xf>
    <xf numFmtId="0" fontId="50" fillId="17" borderId="0" xfId="0" applyFont="1" applyFill="1" applyBorder="1" applyAlignment="1" applyProtection="1">
      <alignment horizontal="center"/>
    </xf>
    <xf numFmtId="164" fontId="50" fillId="2" borderId="0" xfId="0" applyNumberFormat="1" applyFont="1" applyFill="1" applyBorder="1" applyAlignment="1" applyProtection="1">
      <alignment horizontal="center" vertical="center"/>
    </xf>
    <xf numFmtId="164" fontId="50" fillId="2" borderId="9" xfId="0" applyNumberFormat="1" applyFont="1" applyFill="1" applyBorder="1" applyAlignment="1" applyProtection="1">
      <alignment horizontal="center" vertical="center"/>
    </xf>
    <xf numFmtId="14" fontId="67" fillId="3" borderId="51" xfId="0" applyNumberFormat="1" applyFont="1" applyFill="1" applyBorder="1" applyAlignment="1" applyProtection="1">
      <alignment horizontal="center" vertical="center" wrapText="1"/>
    </xf>
    <xf numFmtId="14" fontId="66" fillId="12" borderId="46" xfId="0" applyNumberFormat="1" applyFont="1" applyFill="1" applyBorder="1" applyAlignment="1" applyProtection="1">
      <alignment horizontal="center" vertical="center"/>
    </xf>
    <xf numFmtId="14" fontId="66" fillId="12" borderId="47" xfId="0" applyNumberFormat="1" applyFont="1" applyFill="1" applyBorder="1" applyAlignment="1" applyProtection="1">
      <alignment horizontal="center" vertical="center"/>
    </xf>
    <xf numFmtId="0" fontId="59" fillId="2" borderId="0" xfId="0" applyFont="1" applyFill="1" applyBorder="1" applyAlignment="1" applyProtection="1">
      <alignment horizontal="center" vertical="center"/>
    </xf>
    <xf numFmtId="14" fontId="44" fillId="16" borderId="0" xfId="0" applyNumberFormat="1" applyFont="1" applyFill="1" applyBorder="1" applyAlignment="1" applyProtection="1">
      <alignment horizontal="left"/>
      <protection locked="0"/>
    </xf>
    <xf numFmtId="0" fontId="44" fillId="16" borderId="46" xfId="0" applyFont="1" applyFill="1" applyBorder="1" applyAlignment="1" applyProtection="1">
      <alignment horizontal="left"/>
      <protection locked="0"/>
    </xf>
    <xf numFmtId="0" fontId="44" fillId="16" borderId="47" xfId="0" applyFont="1" applyFill="1" applyBorder="1" applyAlignment="1" applyProtection="1">
      <alignment horizontal="left"/>
      <protection locked="0"/>
    </xf>
    <xf numFmtId="0" fontId="44" fillId="16" borderId="48" xfId="0" applyFont="1" applyFill="1" applyBorder="1" applyAlignment="1" applyProtection="1">
      <alignment horizontal="left"/>
      <protection locked="0"/>
    </xf>
    <xf numFmtId="0" fontId="45" fillId="16" borderId="0" xfId="0" applyFont="1" applyFill="1" applyBorder="1" applyAlignment="1" applyProtection="1">
      <alignment horizontal="center" vertical="center"/>
      <protection locked="0"/>
    </xf>
    <xf numFmtId="0" fontId="44" fillId="2" borderId="0" xfId="0" applyFont="1" applyFill="1" applyBorder="1" applyAlignment="1" applyProtection="1">
      <alignment horizontal="center"/>
    </xf>
    <xf numFmtId="0" fontId="16" fillId="15" borderId="32" xfId="0" applyFont="1" applyFill="1" applyBorder="1" applyAlignment="1">
      <alignment horizontal="center" vertical="center"/>
    </xf>
    <xf numFmtId="0" fontId="16" fillId="15" borderId="33" xfId="0" applyFont="1" applyFill="1" applyBorder="1" applyAlignment="1">
      <alignment horizontal="center" vertical="center"/>
    </xf>
    <xf numFmtId="0" fontId="16" fillId="15" borderId="34" xfId="0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" fontId="21" fillId="4" borderId="30" xfId="0" applyNumberFormat="1" applyFont="1" applyFill="1" applyBorder="1" applyAlignment="1">
      <alignment horizontal="center"/>
    </xf>
    <xf numFmtId="1" fontId="21" fillId="4" borderId="31" xfId="0" applyNumberFormat="1" applyFont="1" applyFill="1" applyBorder="1" applyAlignment="1">
      <alignment horizontal="center"/>
    </xf>
    <xf numFmtId="2" fontId="20" fillId="4" borderId="16" xfId="0" applyNumberFormat="1" applyFont="1" applyFill="1" applyBorder="1" applyAlignment="1">
      <alignment horizontal="center" vertical="center"/>
    </xf>
    <xf numFmtId="2" fontId="20" fillId="4" borderId="17" xfId="0" applyNumberFormat="1" applyFont="1" applyFill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2" fontId="20" fillId="4" borderId="19" xfId="0" applyNumberFormat="1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10" fontId="19" fillId="10" borderId="28" xfId="0" applyNumberFormat="1" applyFont="1" applyFill="1" applyBorder="1" applyAlignment="1" applyProtection="1">
      <alignment horizontal="center" vertical="center"/>
    </xf>
    <xf numFmtId="0" fontId="4" fillId="11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0" fontId="4" fillId="10" borderId="1" xfId="0" applyFont="1" applyFill="1" applyBorder="1" applyAlignment="1" applyProtection="1">
      <alignment horizontal="center" vertical="center"/>
    </xf>
    <xf numFmtId="10" fontId="19" fillId="11" borderId="28" xfId="0" applyNumberFormat="1" applyFont="1" applyFill="1" applyBorder="1" applyAlignment="1" applyProtection="1">
      <alignment horizontal="center" vertical="center"/>
    </xf>
    <xf numFmtId="10" fontId="19" fillId="6" borderId="28" xfId="0" applyNumberFormat="1" applyFont="1" applyFill="1" applyBorder="1" applyAlignment="1" applyProtection="1">
      <alignment horizontal="center" vertical="center"/>
    </xf>
    <xf numFmtId="10" fontId="19" fillId="7" borderId="28" xfId="0" applyNumberFormat="1" applyFont="1" applyFill="1" applyBorder="1" applyAlignment="1" applyProtection="1">
      <alignment horizontal="center" vertical="center"/>
    </xf>
    <xf numFmtId="10" fontId="19" fillId="8" borderId="28" xfId="0" applyNumberFormat="1" applyFont="1" applyFill="1" applyBorder="1" applyAlignment="1" applyProtection="1">
      <alignment horizontal="center" vertical="center"/>
    </xf>
    <xf numFmtId="10" fontId="19" fillId="9" borderId="28" xfId="0" applyNumberFormat="1" applyFont="1" applyFill="1" applyBorder="1" applyAlignment="1" applyProtection="1">
      <alignment horizontal="center" vertical="center"/>
    </xf>
    <xf numFmtId="1" fontId="21" fillId="4" borderId="3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textRotation="90"/>
    </xf>
    <xf numFmtId="0" fontId="33" fillId="13" borderId="0" xfId="0" applyFont="1" applyFill="1" applyAlignment="1">
      <alignment horizontal="left" vertic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4" fillId="13" borderId="0" xfId="0" applyFont="1" applyFill="1" applyAlignment="1">
      <alignment horizontal="left" vertic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  <protection locked="0"/>
    </xf>
    <xf numFmtId="0" fontId="2" fillId="15" borderId="5" xfId="0" applyFont="1" applyFill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</xf>
    <xf numFmtId="3" fontId="2" fillId="2" borderId="20" xfId="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2" fontId="2" fillId="15" borderId="3" xfId="0" applyNumberFormat="1" applyFont="1" applyFill="1" applyBorder="1" applyAlignment="1" applyProtection="1">
      <alignment horizontal="center" vertical="center"/>
      <protection locked="0"/>
    </xf>
    <xf numFmtId="2" fontId="2" fillId="15" borderId="4" xfId="0" applyNumberFormat="1" applyFont="1" applyFill="1" applyBorder="1" applyAlignment="1" applyProtection="1">
      <alignment horizontal="center" vertical="center"/>
      <protection locked="0"/>
    </xf>
    <xf numFmtId="2" fontId="2" fillId="15" borderId="5" xfId="0" applyNumberFormat="1" applyFont="1" applyFill="1" applyBorder="1" applyAlignment="1" applyProtection="1">
      <alignment horizontal="center" vertical="center"/>
      <protection locked="0"/>
    </xf>
    <xf numFmtId="14" fontId="10" fillId="3" borderId="21" xfId="0" applyNumberFormat="1" applyFont="1" applyFill="1" applyBorder="1" applyAlignment="1" applyProtection="1">
      <alignment horizontal="center" vertical="center" wrapText="1"/>
    </xf>
    <xf numFmtId="14" fontId="10" fillId="3" borderId="7" xfId="0" applyNumberFormat="1" applyFont="1" applyFill="1" applyBorder="1" applyAlignment="1" applyProtection="1">
      <alignment horizontal="center" vertical="center" wrapText="1"/>
    </xf>
    <xf numFmtId="14" fontId="10" fillId="3" borderId="14" xfId="0" applyNumberFormat="1" applyFont="1" applyFill="1" applyBorder="1" applyAlignment="1" applyProtection="1">
      <alignment horizontal="center" vertical="center" wrapText="1"/>
    </xf>
    <xf numFmtId="14" fontId="10" fillId="3" borderId="2" xfId="0" applyNumberFormat="1" applyFont="1" applyFill="1" applyBorder="1" applyAlignment="1" applyProtection="1">
      <alignment horizontal="center" vertical="center" wrapText="1"/>
    </xf>
    <xf numFmtId="14" fontId="10" fillId="3" borderId="6" xfId="0" applyNumberFormat="1" applyFont="1" applyFill="1" applyBorder="1" applyAlignment="1" applyProtection="1">
      <alignment horizontal="center" vertical="center" wrapText="1"/>
    </xf>
    <xf numFmtId="14" fontId="10" fillId="3" borderId="10" xfId="0" applyNumberFormat="1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 applyProtection="1">
      <alignment horizontal="center" wrapText="1"/>
    </xf>
    <xf numFmtId="164" fontId="39" fillId="2" borderId="0" xfId="0" applyNumberFormat="1" applyFont="1" applyFill="1" applyBorder="1" applyAlignment="1" applyProtection="1">
      <alignment horizontal="center"/>
    </xf>
    <xf numFmtId="164" fontId="39" fillId="2" borderId="9" xfId="0" applyNumberFormat="1" applyFont="1" applyFill="1" applyBorder="1" applyAlignment="1" applyProtection="1">
      <alignment horizontal="center"/>
    </xf>
    <xf numFmtId="3" fontId="2" fillId="0" borderId="3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/>
    </xf>
    <xf numFmtId="14" fontId="10" fillId="2" borderId="3" xfId="0" applyNumberFormat="1" applyFont="1" applyFill="1" applyBorder="1" applyAlignment="1" applyProtection="1">
      <alignment horizontal="center" vertical="center"/>
    </xf>
    <xf numFmtId="14" fontId="10" fillId="2" borderId="4" xfId="0" applyNumberFormat="1" applyFont="1" applyFill="1" applyBorder="1" applyAlignment="1" applyProtection="1">
      <alignment horizontal="center" vertical="center"/>
    </xf>
    <xf numFmtId="14" fontId="10" fillId="2" borderId="5" xfId="0" applyNumberFormat="1" applyFont="1" applyFill="1" applyBorder="1" applyAlignment="1" applyProtection="1">
      <alignment horizontal="center" vertical="center"/>
    </xf>
    <xf numFmtId="2" fontId="10" fillId="2" borderId="4" xfId="0" applyNumberFormat="1" applyFont="1" applyFill="1" applyBorder="1" applyAlignment="1" applyProtection="1">
      <alignment horizontal="center"/>
    </xf>
    <xf numFmtId="2" fontId="10" fillId="2" borderId="5" xfId="0" applyNumberFormat="1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164" fontId="39" fillId="2" borderId="0" xfId="0" applyNumberFormat="1" applyFont="1" applyFill="1" applyBorder="1" applyAlignment="1" applyProtection="1">
      <alignment horizontal="center" vertical="center"/>
    </xf>
    <xf numFmtId="164" fontId="39" fillId="2" borderId="9" xfId="0" applyNumberFormat="1" applyFont="1" applyFill="1" applyBorder="1" applyAlignment="1" applyProtection="1">
      <alignment horizontal="center" vertical="center"/>
    </xf>
    <xf numFmtId="3" fontId="2" fillId="15" borderId="3" xfId="0" applyNumberFormat="1" applyFont="1" applyFill="1" applyBorder="1" applyAlignment="1" applyProtection="1">
      <alignment horizontal="center" vertical="center"/>
      <protection locked="0"/>
    </xf>
    <xf numFmtId="3" fontId="2" fillId="15" borderId="4" xfId="0" applyNumberFormat="1" applyFont="1" applyFill="1" applyBorder="1" applyAlignment="1" applyProtection="1">
      <alignment horizontal="center" vertical="center"/>
      <protection locked="0"/>
    </xf>
    <xf numFmtId="3" fontId="2" fillId="15" borderId="5" xfId="0" applyNumberFormat="1" applyFont="1" applyFill="1" applyBorder="1" applyAlignment="1" applyProtection="1">
      <alignment horizontal="center" vertical="center"/>
      <protection locked="0"/>
    </xf>
    <xf numFmtId="0" fontId="4" fillId="15" borderId="23" xfId="0" applyFont="1" applyFill="1" applyBorder="1" applyAlignment="1" applyProtection="1">
      <alignment horizontal="left"/>
      <protection locked="0"/>
    </xf>
    <xf numFmtId="0" fontId="4" fillId="15" borderId="24" xfId="0" applyFont="1" applyFill="1" applyBorder="1" applyAlignment="1" applyProtection="1">
      <alignment horizontal="left"/>
      <protection locked="0"/>
    </xf>
    <xf numFmtId="14" fontId="4" fillId="15" borderId="6" xfId="0" applyNumberFormat="1" applyFont="1" applyFill="1" applyBorder="1" applyAlignment="1" applyProtection="1">
      <alignment horizontal="left"/>
      <protection locked="0"/>
    </xf>
    <xf numFmtId="0" fontId="42" fillId="2" borderId="0" xfId="0" applyFont="1" applyFill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/>
    </xf>
    <xf numFmtId="3" fontId="42" fillId="2" borderId="0" xfId="0" applyNumberFormat="1" applyFont="1" applyFill="1" applyBorder="1" applyAlignment="1" applyProtection="1">
      <alignment horizontal="center"/>
    </xf>
    <xf numFmtId="0" fontId="42" fillId="2" borderId="0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15" borderId="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</xf>
    <xf numFmtId="3" fontId="2" fillId="2" borderId="4" xfId="0" applyNumberFormat="1" applyFont="1" applyFill="1" applyBorder="1" applyAlignment="1" applyProtection="1">
      <alignment horizontal="center" vertical="center"/>
    </xf>
    <xf numFmtId="3" fontId="2" fillId="2" borderId="5" xfId="0" applyNumberFormat="1" applyFont="1" applyFill="1" applyBorder="1" applyAlignment="1" applyProtection="1">
      <alignment horizontal="center" vertical="center"/>
    </xf>
    <xf numFmtId="0" fontId="4" fillId="15" borderId="7" xfId="0" applyFont="1" applyFill="1" applyBorder="1" applyAlignment="1" applyProtection="1">
      <alignment horizontal="left"/>
      <protection locked="0"/>
    </xf>
    <xf numFmtId="0" fontId="4" fillId="15" borderId="0" xfId="0" applyFont="1" applyFill="1" applyBorder="1" applyAlignment="1" applyProtection="1">
      <alignment horizontal="left"/>
      <protection locked="0"/>
    </xf>
    <xf numFmtId="4" fontId="2" fillId="2" borderId="4" xfId="0" applyNumberFormat="1" applyFont="1" applyFill="1" applyBorder="1" applyAlignment="1" applyProtection="1">
      <alignment horizontal="center" vertical="center"/>
    </xf>
    <xf numFmtId="4" fontId="2" fillId="2" borderId="20" xfId="0" applyNumberFormat="1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1" fontId="42" fillId="2" borderId="0" xfId="0" applyNumberFormat="1" applyFont="1" applyFill="1" applyBorder="1" applyAlignment="1" applyProtection="1">
      <alignment horizontal="center"/>
    </xf>
    <xf numFmtId="0" fontId="38" fillId="2" borderId="0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71B5"/>
      <color rgb="FFC7EBD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</xdr:row>
      <xdr:rowOff>66675</xdr:rowOff>
    </xdr:from>
    <xdr:to>
      <xdr:col>8</xdr:col>
      <xdr:colOff>533400</xdr:colOff>
      <xdr:row>9</xdr:row>
      <xdr:rowOff>137160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66700" y="569595"/>
          <a:ext cx="5143500" cy="1076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Procedures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worksheet will help you determine what your landscapes water requirement will be.  Start by selecting the projects zip code and type (i.e. residential or non-residential). Input the appropriate site information and numbers on the worksheet (green cells).  This worksheet should be kept for your records and included on the plans.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187806</xdr:colOff>
      <xdr:row>27</xdr:row>
      <xdr:rowOff>94673</xdr:rowOff>
    </xdr:from>
    <xdr:to>
      <xdr:col>15</xdr:col>
      <xdr:colOff>62346</xdr:colOff>
      <xdr:row>35</xdr:row>
      <xdr:rowOff>62346</xdr:rowOff>
    </xdr:to>
    <xdr:sp macro="" textlink="">
      <xdr:nvSpPr>
        <xdr:cNvPr id="2" name="Rectangle 1"/>
        <xdr:cNvSpPr/>
      </xdr:nvSpPr>
      <xdr:spPr>
        <a:xfrm>
          <a:off x="187806" y="3558309"/>
          <a:ext cx="2728576" cy="107603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417</xdr:colOff>
      <xdr:row>2</xdr:row>
      <xdr:rowOff>6803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0631" cy="598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16080</xdr:rowOff>
    </xdr:from>
    <xdr:to>
      <xdr:col>29</xdr:col>
      <xdr:colOff>17217</xdr:colOff>
      <xdr:row>47</xdr:row>
      <xdr:rowOff>95250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24648"/>
          <a:ext cx="5359876" cy="4082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187806</xdr:colOff>
      <xdr:row>27</xdr:row>
      <xdr:rowOff>94673</xdr:rowOff>
    </xdr:from>
    <xdr:to>
      <xdr:col>15</xdr:col>
      <xdr:colOff>62346</xdr:colOff>
      <xdr:row>35</xdr:row>
      <xdr:rowOff>62346</xdr:rowOff>
    </xdr:to>
    <xdr:sp macro="" textlink="">
      <xdr:nvSpPr>
        <xdr:cNvPr id="12" name="Rectangle 11"/>
        <xdr:cNvSpPr/>
      </xdr:nvSpPr>
      <xdr:spPr>
        <a:xfrm>
          <a:off x="187806" y="3660833"/>
          <a:ext cx="2617740" cy="106495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6" sqref="K16"/>
    </sheetView>
  </sheetViews>
  <sheetFormatPr defaultRowHeight="12.75" x14ac:dyDescent="0.2"/>
  <sheetData/>
  <sheetProtection selectLockedCells="1"/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K59"/>
  <sheetViews>
    <sheetView showGridLines="0" tabSelected="1" zoomScale="110" zoomScaleNormal="110" workbookViewId="0">
      <selection activeCell="K4" sqref="K4:M4"/>
    </sheetView>
  </sheetViews>
  <sheetFormatPr defaultRowHeight="12.75" x14ac:dyDescent="0.2"/>
  <cols>
    <col min="1" max="1" width="1.7109375" style="144" customWidth="1"/>
    <col min="2" max="5" width="3.28515625" style="144" customWidth="1"/>
    <col min="6" max="32" width="2.7109375" style="144" customWidth="1"/>
    <col min="33" max="33" width="2.7109375" style="143" customWidth="1"/>
    <col min="34" max="35" width="6.28515625" style="144" customWidth="1"/>
    <col min="36" max="16384" width="9.140625" style="144"/>
  </cols>
  <sheetData>
    <row r="1" spans="1:37" ht="28.5" customHeight="1" x14ac:dyDescent="0.2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37" ht="18" customHeight="1" x14ac:dyDescent="0.2">
      <c r="A2" s="142"/>
      <c r="B2" s="145"/>
      <c r="C2" s="264" t="s">
        <v>0</v>
      </c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146"/>
      <c r="AD2" s="147"/>
      <c r="AE2" s="147"/>
      <c r="AF2" s="148"/>
      <c r="AG2" s="149"/>
      <c r="AH2" s="150"/>
      <c r="AI2" s="150"/>
      <c r="AJ2" s="151"/>
      <c r="AK2" s="152"/>
    </row>
    <row r="3" spans="1:37" ht="10.9" customHeight="1" x14ac:dyDescent="0.2">
      <c r="A3" s="142"/>
      <c r="B3" s="153"/>
      <c r="C3" s="153"/>
      <c r="D3" s="154"/>
      <c r="E3" s="154"/>
      <c r="F3" s="154"/>
      <c r="G3" s="154"/>
      <c r="H3" s="154"/>
      <c r="I3" s="154"/>
      <c r="J3" s="154"/>
      <c r="K3" s="153"/>
      <c r="L3" s="153"/>
      <c r="M3" s="153"/>
      <c r="N3" s="270"/>
      <c r="O3" s="270"/>
      <c r="P3" s="153"/>
      <c r="Q3" s="153"/>
      <c r="R3" s="153"/>
      <c r="S3" s="153"/>
      <c r="T3" s="153"/>
      <c r="U3" s="153"/>
      <c r="V3" s="153"/>
      <c r="W3" s="155"/>
      <c r="X3" s="155"/>
      <c r="Y3" s="155"/>
      <c r="Z3" s="155"/>
      <c r="AA3" s="153"/>
      <c r="AB3" s="145"/>
      <c r="AC3" s="145"/>
      <c r="AD3" s="147"/>
      <c r="AE3" s="147"/>
      <c r="AF3" s="148"/>
      <c r="AG3" s="156"/>
      <c r="AH3" s="157">
        <v>94901</v>
      </c>
      <c r="AI3" s="158">
        <v>37.33</v>
      </c>
      <c r="AJ3" s="151"/>
      <c r="AK3" s="152"/>
    </row>
    <row r="4" spans="1:37" ht="10.9" customHeight="1" x14ac:dyDescent="0.2">
      <c r="A4" s="142"/>
      <c r="B4" s="153"/>
      <c r="C4" s="153"/>
      <c r="D4" s="153"/>
      <c r="E4" s="153"/>
      <c r="F4" s="146"/>
      <c r="G4" s="159"/>
      <c r="H4" s="153"/>
      <c r="I4" s="146"/>
      <c r="J4" s="198" t="s">
        <v>16</v>
      </c>
      <c r="K4" s="269"/>
      <c r="L4" s="269"/>
      <c r="M4" s="269"/>
      <c r="N4" s="215">
        <f>IF(K4=94920,26.33,IF(K4=94941,26.33,IF(K4=94965,26.33,IF(K4=94904,40.03,IF(K4=94925,40.03,IF(K4=94930,40.03,IF(K4=94939,40.03,IF(K4=94946,40.03, 0))))))))+IF(K4=94933,40.03,IF(K4=94957,40.03,IF(K4=94960,40.03,IF(K4=94963,40.03,IF(K4=94964,40.03,IF(K4=94973,40.03,IF(K4=94901,37.33,IF(K4=94903,37.33, 0))))))))</f>
        <v>0</v>
      </c>
      <c r="O4" s="215"/>
      <c r="P4" s="199" t="s">
        <v>30</v>
      </c>
      <c r="Q4" s="145"/>
      <c r="R4" s="145"/>
      <c r="S4" s="152"/>
      <c r="T4" s="269"/>
      <c r="U4" s="269"/>
      <c r="V4" s="146"/>
      <c r="W4" s="155"/>
      <c r="X4" s="160" t="s">
        <v>31</v>
      </c>
      <c r="Y4" s="155"/>
      <c r="Z4" s="155"/>
      <c r="AA4" s="153"/>
      <c r="AB4" s="145"/>
      <c r="AC4" s="145"/>
      <c r="AD4" s="147"/>
      <c r="AE4" s="147"/>
      <c r="AF4" s="148"/>
      <c r="AG4" s="156"/>
      <c r="AH4" s="157">
        <v>94903</v>
      </c>
      <c r="AI4" s="158">
        <v>37.33</v>
      </c>
      <c r="AJ4" s="151"/>
      <c r="AK4" s="152"/>
    </row>
    <row r="5" spans="1:37" ht="10.9" customHeight="1" x14ac:dyDescent="0.2">
      <c r="A5" s="14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5"/>
      <c r="O5" s="155"/>
      <c r="P5" s="153"/>
      <c r="Q5" s="153"/>
      <c r="R5" s="153"/>
      <c r="S5" s="153"/>
      <c r="T5" s="153"/>
      <c r="U5" s="153"/>
      <c r="V5" s="153"/>
      <c r="W5" s="155"/>
      <c r="X5" s="160" t="s">
        <v>32</v>
      </c>
      <c r="Y5" s="155"/>
      <c r="Z5" s="155"/>
      <c r="AA5" s="153"/>
      <c r="AB5" s="145"/>
      <c r="AC5" s="145"/>
      <c r="AD5" s="147"/>
      <c r="AE5" s="147"/>
      <c r="AF5" s="148"/>
      <c r="AG5" s="156"/>
      <c r="AH5" s="157">
        <v>94904</v>
      </c>
      <c r="AI5" s="158">
        <v>40.03</v>
      </c>
      <c r="AJ5" s="151"/>
      <c r="AK5" s="152"/>
    </row>
    <row r="6" spans="1:37" ht="10.9" customHeight="1" x14ac:dyDescent="0.2">
      <c r="A6" s="142"/>
      <c r="B6" s="145"/>
      <c r="C6" s="193" t="s">
        <v>11</v>
      </c>
      <c r="D6" s="194"/>
      <c r="E6" s="194"/>
      <c r="F6" s="195"/>
      <c r="G6" s="195"/>
      <c r="H6" s="195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7"/>
      <c r="X6" s="197"/>
      <c r="Y6" s="197"/>
      <c r="Z6" s="197"/>
      <c r="AA6" s="196"/>
      <c r="AB6" s="196"/>
      <c r="AC6" s="145"/>
      <c r="AD6" s="147"/>
      <c r="AE6" s="147"/>
      <c r="AF6" s="148"/>
      <c r="AG6" s="156"/>
      <c r="AH6" s="157">
        <v>94920</v>
      </c>
      <c r="AI6" s="158">
        <v>26.33</v>
      </c>
      <c r="AJ6" s="151"/>
      <c r="AK6" s="152"/>
    </row>
    <row r="7" spans="1:37" ht="10.9" customHeight="1" x14ac:dyDescent="0.2">
      <c r="A7" s="142"/>
      <c r="B7" s="145"/>
      <c r="C7" s="200" t="s">
        <v>12</v>
      </c>
      <c r="D7" s="161"/>
      <c r="E7" s="161"/>
      <c r="F7" s="161"/>
      <c r="G7" s="161"/>
      <c r="H7" s="266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8"/>
      <c r="AC7" s="145"/>
      <c r="AD7" s="147"/>
      <c r="AE7" s="147"/>
      <c r="AF7" s="148"/>
      <c r="AG7" s="156"/>
      <c r="AH7" s="157">
        <v>94925</v>
      </c>
      <c r="AI7" s="158">
        <v>40.03</v>
      </c>
      <c r="AJ7" s="151"/>
      <c r="AK7" s="152"/>
    </row>
    <row r="8" spans="1:37" ht="10.9" customHeight="1" x14ac:dyDescent="0.2">
      <c r="A8" s="142"/>
      <c r="B8" s="145"/>
      <c r="C8" s="200" t="s">
        <v>18</v>
      </c>
      <c r="D8" s="161"/>
      <c r="E8" s="161"/>
      <c r="F8" s="161"/>
      <c r="G8" s="161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145"/>
      <c r="AD8" s="147"/>
      <c r="AE8" s="147"/>
      <c r="AF8" s="148"/>
      <c r="AG8" s="156"/>
      <c r="AH8" s="157">
        <v>94930</v>
      </c>
      <c r="AI8" s="158">
        <v>40.03</v>
      </c>
      <c r="AJ8" s="151"/>
      <c r="AK8" s="152"/>
    </row>
    <row r="9" spans="1:37" ht="10.9" customHeight="1" x14ac:dyDescent="0.2">
      <c r="A9" s="142"/>
      <c r="B9" s="145"/>
      <c r="C9" s="200" t="s">
        <v>19</v>
      </c>
      <c r="D9" s="161"/>
      <c r="E9" s="161"/>
      <c r="F9" s="161"/>
      <c r="G9" s="161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145"/>
      <c r="AD9" s="147"/>
      <c r="AE9" s="147"/>
      <c r="AF9" s="148"/>
      <c r="AG9" s="156"/>
      <c r="AH9" s="157">
        <v>94933</v>
      </c>
      <c r="AI9" s="158">
        <v>40.03</v>
      </c>
      <c r="AJ9" s="151"/>
      <c r="AK9" s="152"/>
    </row>
    <row r="10" spans="1:37" ht="10.9" customHeight="1" x14ac:dyDescent="0.2">
      <c r="A10" s="142"/>
      <c r="B10" s="145"/>
      <c r="C10" s="201" t="s">
        <v>35</v>
      </c>
      <c r="D10" s="161"/>
      <c r="E10" s="161"/>
      <c r="F10" s="161"/>
      <c r="G10" s="161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145"/>
      <c r="AD10" s="147"/>
      <c r="AE10" s="147"/>
      <c r="AF10" s="148"/>
      <c r="AG10" s="156"/>
      <c r="AH10" s="157">
        <v>94939</v>
      </c>
      <c r="AI10" s="158">
        <v>40.03</v>
      </c>
      <c r="AJ10" s="151"/>
      <c r="AK10" s="152"/>
    </row>
    <row r="11" spans="1:37" ht="10.9" customHeight="1" x14ac:dyDescent="0.2">
      <c r="A11" s="142"/>
      <c r="B11" s="145"/>
      <c r="C11" s="200" t="s">
        <v>36</v>
      </c>
      <c r="D11" s="161"/>
      <c r="E11" s="161"/>
      <c r="F11" s="161"/>
      <c r="G11" s="161"/>
      <c r="H11" s="265">
        <f ca="1">TODAY()</f>
        <v>44137</v>
      </c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5"/>
      <c r="AC11" s="145"/>
      <c r="AD11" s="147"/>
      <c r="AE11" s="147"/>
      <c r="AF11" s="148"/>
      <c r="AG11" s="156"/>
      <c r="AH11" s="157">
        <v>94941</v>
      </c>
      <c r="AI11" s="158">
        <v>26.33</v>
      </c>
      <c r="AJ11" s="151"/>
      <c r="AK11" s="152"/>
    </row>
    <row r="12" spans="1:37" ht="10.9" customHeight="1" x14ac:dyDescent="0.2">
      <c r="A12" s="142"/>
      <c r="B12" s="153"/>
      <c r="C12" s="162"/>
      <c r="D12" s="163"/>
      <c r="E12" s="163"/>
      <c r="F12" s="163"/>
      <c r="G12" s="163"/>
      <c r="H12" s="163"/>
      <c r="I12" s="163"/>
      <c r="J12" s="16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45"/>
      <c r="AC12" s="145"/>
      <c r="AD12" s="147"/>
      <c r="AE12" s="147"/>
      <c r="AF12" s="148"/>
      <c r="AG12" s="156"/>
      <c r="AH12" s="157">
        <v>94946</v>
      </c>
      <c r="AI12" s="158">
        <v>40.03</v>
      </c>
      <c r="AJ12" s="151"/>
      <c r="AK12" s="152"/>
    </row>
    <row r="13" spans="1:37" ht="10.9" customHeight="1" x14ac:dyDescent="0.2">
      <c r="A13" s="142"/>
      <c r="B13" s="164"/>
      <c r="C13" s="258" t="s">
        <v>1</v>
      </c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145"/>
      <c r="AD13" s="147"/>
      <c r="AE13" s="147"/>
      <c r="AF13" s="148"/>
      <c r="AG13" s="156"/>
      <c r="AH13" s="157">
        <v>94957</v>
      </c>
      <c r="AI13" s="158">
        <v>40.03</v>
      </c>
      <c r="AJ13" s="151"/>
      <c r="AK13" s="152"/>
    </row>
    <row r="14" spans="1:37" ht="10.9" customHeight="1" x14ac:dyDescent="0.2">
      <c r="A14" s="142"/>
      <c r="B14" s="153"/>
      <c r="C14" s="162"/>
      <c r="D14" s="163"/>
      <c r="E14" s="163"/>
      <c r="F14" s="163"/>
      <c r="G14" s="163"/>
      <c r="H14" s="163"/>
      <c r="I14" s="163"/>
      <c r="J14" s="163"/>
      <c r="K14" s="153"/>
      <c r="L14" s="153"/>
      <c r="M14" s="153"/>
      <c r="N14" s="153"/>
      <c r="O14" s="153"/>
      <c r="P14" s="153"/>
      <c r="Q14" s="153"/>
      <c r="R14" s="155"/>
      <c r="S14" s="155"/>
      <c r="T14" s="165" t="s">
        <v>33</v>
      </c>
      <c r="U14" s="165"/>
      <c r="V14" s="165"/>
      <c r="W14" s="165" t="s">
        <v>34</v>
      </c>
      <c r="X14" s="165"/>
      <c r="Y14" s="155"/>
      <c r="Z14" s="155"/>
      <c r="AA14" s="155"/>
      <c r="AB14" s="166"/>
      <c r="AC14" s="145"/>
      <c r="AD14" s="147"/>
      <c r="AE14" s="147"/>
      <c r="AF14" s="148"/>
      <c r="AG14" s="156"/>
      <c r="AH14" s="157">
        <v>94960</v>
      </c>
      <c r="AI14" s="158">
        <v>40.03</v>
      </c>
      <c r="AJ14" s="151"/>
      <c r="AK14" s="152"/>
    </row>
    <row r="15" spans="1:37" ht="10.9" customHeight="1" x14ac:dyDescent="0.2">
      <c r="A15" s="142"/>
      <c r="B15" s="153"/>
      <c r="C15" s="202" t="s">
        <v>21</v>
      </c>
      <c r="D15" s="167"/>
      <c r="E15" s="163"/>
      <c r="F15" s="163"/>
      <c r="G15" s="163"/>
      <c r="H15" s="163"/>
      <c r="I15" s="145"/>
      <c r="J15" s="145"/>
      <c r="K15" s="248"/>
      <c r="L15" s="248"/>
      <c r="M15" s="248"/>
      <c r="N15" s="248"/>
      <c r="O15" s="248"/>
      <c r="P15" s="204" t="s">
        <v>24</v>
      </c>
      <c r="Q15" s="153"/>
      <c r="R15" s="155"/>
      <c r="S15" s="155"/>
      <c r="T15" s="252">
        <f>K15*0.55</f>
        <v>0</v>
      </c>
      <c r="U15" s="252"/>
      <c r="V15" s="168"/>
      <c r="W15" s="254">
        <f>K15*0.45</f>
        <v>0</v>
      </c>
      <c r="X15" s="254"/>
      <c r="Y15" s="155"/>
      <c r="Z15" s="155"/>
      <c r="AA15" s="155"/>
      <c r="AB15" s="166"/>
      <c r="AC15" s="145"/>
      <c r="AD15" s="147"/>
      <c r="AE15" s="147"/>
      <c r="AF15" s="148"/>
      <c r="AG15" s="156"/>
      <c r="AH15" s="157">
        <v>94963</v>
      </c>
      <c r="AI15" s="158">
        <v>40.03</v>
      </c>
      <c r="AJ15" s="151"/>
      <c r="AK15" s="152"/>
    </row>
    <row r="16" spans="1:37" ht="10.9" customHeight="1" x14ac:dyDescent="0.2">
      <c r="A16" s="142"/>
      <c r="B16" s="153"/>
      <c r="C16" s="145"/>
      <c r="D16" s="153"/>
      <c r="E16" s="163"/>
      <c r="F16" s="163"/>
      <c r="G16" s="163"/>
      <c r="H16" s="163"/>
      <c r="I16" s="163"/>
      <c r="J16" s="163"/>
      <c r="K16" s="153"/>
      <c r="L16" s="153"/>
      <c r="M16" s="153"/>
      <c r="N16" s="153"/>
      <c r="O16" s="153"/>
      <c r="P16" s="153"/>
      <c r="Q16" s="153"/>
      <c r="R16" s="155"/>
      <c r="S16" s="155"/>
      <c r="T16" s="169"/>
      <c r="U16" s="168"/>
      <c r="V16" s="168"/>
      <c r="W16" s="168"/>
      <c r="X16" s="168"/>
      <c r="Y16" s="155"/>
      <c r="Z16" s="155"/>
      <c r="AA16" s="155"/>
      <c r="AB16" s="166"/>
      <c r="AC16" s="145"/>
      <c r="AD16" s="147"/>
      <c r="AE16" s="147"/>
      <c r="AF16" s="148"/>
      <c r="AG16" s="156"/>
      <c r="AH16" s="157">
        <v>94964</v>
      </c>
      <c r="AI16" s="158">
        <v>40.03</v>
      </c>
      <c r="AJ16" s="151"/>
      <c r="AK16" s="152"/>
    </row>
    <row r="17" spans="1:37" ht="10.9" customHeight="1" x14ac:dyDescent="0.2">
      <c r="A17" s="142"/>
      <c r="B17" s="153"/>
      <c r="C17" s="202" t="s">
        <v>22</v>
      </c>
      <c r="D17" s="170"/>
      <c r="E17" s="163"/>
      <c r="F17" s="163"/>
      <c r="G17" s="163"/>
      <c r="H17" s="163"/>
      <c r="I17" s="145"/>
      <c r="J17" s="145"/>
      <c r="K17" s="248">
        <v>0</v>
      </c>
      <c r="L17" s="248"/>
      <c r="M17" s="248"/>
      <c r="N17" s="248"/>
      <c r="O17" s="248"/>
      <c r="P17" s="204" t="s">
        <v>24</v>
      </c>
      <c r="Q17" s="153"/>
      <c r="R17" s="155"/>
      <c r="S17" s="155"/>
      <c r="T17" s="252">
        <f>K17*0.45</f>
        <v>0</v>
      </c>
      <c r="U17" s="252"/>
      <c r="V17" s="168"/>
      <c r="W17" s="254">
        <f>K17*0.55</f>
        <v>0</v>
      </c>
      <c r="X17" s="254"/>
      <c r="Y17" s="155"/>
      <c r="Z17" s="155"/>
      <c r="AA17" s="155"/>
      <c r="AB17" s="166"/>
      <c r="AC17" s="145"/>
      <c r="AD17" s="147"/>
      <c r="AE17" s="147"/>
      <c r="AF17" s="148"/>
      <c r="AG17" s="156"/>
      <c r="AH17" s="157">
        <v>94965</v>
      </c>
      <c r="AI17" s="158">
        <v>26.33</v>
      </c>
      <c r="AJ17" s="151"/>
      <c r="AK17" s="152"/>
    </row>
    <row r="18" spans="1:37" ht="10.9" customHeight="1" x14ac:dyDescent="0.2">
      <c r="A18" s="142"/>
      <c r="B18" s="153"/>
      <c r="C18" s="162"/>
      <c r="D18" s="145"/>
      <c r="E18" s="163"/>
      <c r="F18" s="163"/>
      <c r="G18" s="163"/>
      <c r="H18" s="163"/>
      <c r="I18" s="163"/>
      <c r="J18" s="163"/>
      <c r="K18" s="153"/>
      <c r="L18" s="153"/>
      <c r="M18" s="153"/>
      <c r="N18" s="153"/>
      <c r="O18" s="153"/>
      <c r="P18" s="153"/>
      <c r="Q18" s="153"/>
      <c r="R18" s="155"/>
      <c r="S18" s="155"/>
      <c r="T18" s="171"/>
      <c r="U18" s="171"/>
      <c r="V18" s="171"/>
      <c r="W18" s="171"/>
      <c r="X18" s="171"/>
      <c r="Y18" s="155"/>
      <c r="Z18" s="155"/>
      <c r="AA18" s="155"/>
      <c r="AB18" s="166"/>
      <c r="AC18" s="145"/>
      <c r="AD18" s="147"/>
      <c r="AE18" s="147"/>
      <c r="AF18" s="148"/>
      <c r="AG18" s="156"/>
      <c r="AH18" s="157">
        <v>94973</v>
      </c>
      <c r="AI18" s="158">
        <v>40.03</v>
      </c>
      <c r="AJ18" s="151"/>
      <c r="AK18" s="152"/>
    </row>
    <row r="19" spans="1:37" ht="10.9" customHeight="1" x14ac:dyDescent="0.2">
      <c r="A19" s="142"/>
      <c r="B19" s="153"/>
      <c r="C19" s="203" t="s">
        <v>2</v>
      </c>
      <c r="D19" s="172"/>
      <c r="E19" s="163"/>
      <c r="F19" s="163"/>
      <c r="G19" s="259">
        <f>ROUND(K19,0)</f>
        <v>0</v>
      </c>
      <c r="H19" s="259"/>
      <c r="I19" s="259"/>
      <c r="J19" s="260"/>
      <c r="K19" s="209">
        <f>IF(T4="YES",T19,IF(T4="No", W19, 0))</f>
        <v>0</v>
      </c>
      <c r="L19" s="210"/>
      <c r="M19" s="210"/>
      <c r="N19" s="210"/>
      <c r="O19" s="211"/>
      <c r="P19" s="204" t="s">
        <v>118</v>
      </c>
      <c r="Q19" s="153"/>
      <c r="R19" s="155"/>
      <c r="S19" s="155"/>
      <c r="T19" s="257">
        <f>N4*0.62*(T15+T17)/748</f>
        <v>0</v>
      </c>
      <c r="U19" s="257"/>
      <c r="V19" s="173"/>
      <c r="W19" s="257">
        <f>N4*0.62*(W15+W17)/748</f>
        <v>0</v>
      </c>
      <c r="X19" s="257"/>
      <c r="Y19" s="174"/>
      <c r="Z19" s="155"/>
      <c r="AA19" s="155"/>
      <c r="AB19" s="166"/>
      <c r="AC19" s="145"/>
      <c r="AD19" s="147"/>
      <c r="AE19" s="147"/>
      <c r="AF19" s="148"/>
      <c r="AG19" s="149"/>
      <c r="AH19" s="150"/>
      <c r="AI19" s="150" t="s">
        <v>89</v>
      </c>
      <c r="AJ19" s="151"/>
      <c r="AK19" s="152"/>
    </row>
    <row r="20" spans="1:37" ht="10.9" customHeight="1" x14ac:dyDescent="0.2">
      <c r="A20" s="142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6"/>
      <c r="S20" s="176"/>
      <c r="T20" s="177"/>
      <c r="U20" s="177"/>
      <c r="V20" s="177"/>
      <c r="W20" s="177"/>
      <c r="X20" s="177"/>
      <c r="Y20" s="176"/>
      <c r="Z20" s="176"/>
      <c r="AA20" s="176"/>
      <c r="AB20" s="176"/>
      <c r="AC20" s="175"/>
      <c r="AD20" s="147"/>
      <c r="AE20" s="147"/>
      <c r="AF20" s="148"/>
      <c r="AG20" s="149"/>
      <c r="AH20" s="178"/>
      <c r="AI20" s="178"/>
      <c r="AJ20" s="152"/>
      <c r="AK20" s="152"/>
    </row>
    <row r="21" spans="1:37" ht="10.9" customHeight="1" x14ac:dyDescent="0.2">
      <c r="A21" s="142"/>
      <c r="B21" s="175"/>
      <c r="C21" s="258" t="s">
        <v>3</v>
      </c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175"/>
      <c r="AD21" s="147"/>
      <c r="AE21" s="147"/>
      <c r="AF21" s="148"/>
      <c r="AG21" s="149"/>
      <c r="AH21" s="178"/>
      <c r="AI21" s="178"/>
      <c r="AJ21" s="152"/>
      <c r="AK21" s="152"/>
    </row>
    <row r="22" spans="1:37" ht="10.9" customHeight="1" x14ac:dyDescent="0.2">
      <c r="A22" s="142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9"/>
      <c r="AE22" s="179"/>
      <c r="AF22" s="179"/>
      <c r="AG22" s="149"/>
      <c r="AH22" s="178"/>
      <c r="AI22" s="178"/>
      <c r="AJ22" s="152"/>
      <c r="AK22" s="152"/>
    </row>
    <row r="23" spans="1:37" ht="10.9" customHeight="1" x14ac:dyDescent="0.2">
      <c r="A23" s="142"/>
      <c r="B23" s="175"/>
      <c r="C23" s="203" t="s">
        <v>104</v>
      </c>
      <c r="D23" s="175"/>
      <c r="E23" s="175"/>
      <c r="F23" s="175"/>
      <c r="G23" s="175"/>
      <c r="H23" s="175"/>
      <c r="I23" s="175"/>
      <c r="J23" s="175"/>
      <c r="K23" s="248"/>
      <c r="L23" s="248"/>
      <c r="M23" s="248"/>
      <c r="N23" s="248"/>
      <c r="O23" s="248"/>
      <c r="P23" s="203" t="s">
        <v>24</v>
      </c>
      <c r="Q23" s="176"/>
      <c r="R23" s="176"/>
      <c r="S23" s="176"/>
      <c r="T23" s="229">
        <f>K23*0.3</f>
        <v>0</v>
      </c>
      <c r="U23" s="229"/>
      <c r="V23" s="233" t="str">
        <f>IF((K23+K25+K27)=K15,"",CONCATENATE("Total of Low, Mod and High sqft entered in this section does not equal ",K15," sqft of Landscaped Area in the MAWA section"))</f>
        <v/>
      </c>
      <c r="W23" s="233"/>
      <c r="X23" s="233"/>
      <c r="Y23" s="233"/>
      <c r="Z23" s="233"/>
      <c r="AA23" s="233"/>
      <c r="AB23" s="233"/>
      <c r="AC23" s="176"/>
      <c r="AD23" s="179"/>
      <c r="AE23" s="179"/>
      <c r="AF23" s="179"/>
      <c r="AG23" s="149"/>
      <c r="AH23" s="178"/>
      <c r="AI23" s="178"/>
      <c r="AJ23" s="152"/>
      <c r="AK23" s="152"/>
    </row>
    <row r="24" spans="1:37" ht="10.9" customHeight="1" x14ac:dyDescent="0.2">
      <c r="A24" s="142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6"/>
      <c r="R24" s="176"/>
      <c r="S24" s="176"/>
      <c r="T24" s="180"/>
      <c r="U24" s="180"/>
      <c r="V24" s="233"/>
      <c r="W24" s="233"/>
      <c r="X24" s="233"/>
      <c r="Y24" s="233"/>
      <c r="Z24" s="233"/>
      <c r="AA24" s="233"/>
      <c r="AB24" s="233"/>
      <c r="AC24" s="176"/>
      <c r="AD24" s="179"/>
      <c r="AE24" s="179"/>
      <c r="AF24" s="179"/>
      <c r="AG24" s="151"/>
      <c r="AH24" s="181"/>
      <c r="AI24" s="181"/>
      <c r="AJ24" s="152"/>
      <c r="AK24" s="152"/>
    </row>
    <row r="25" spans="1:37" ht="10.9" customHeight="1" x14ac:dyDescent="0.2">
      <c r="A25" s="142"/>
      <c r="B25" s="175"/>
      <c r="C25" s="203" t="s">
        <v>105</v>
      </c>
      <c r="D25" s="175"/>
      <c r="E25" s="175"/>
      <c r="F25" s="175"/>
      <c r="G25" s="175"/>
      <c r="H25" s="175"/>
      <c r="I25" s="175"/>
      <c r="J25" s="175"/>
      <c r="K25" s="248">
        <v>0</v>
      </c>
      <c r="L25" s="248"/>
      <c r="M25" s="248"/>
      <c r="N25" s="248"/>
      <c r="O25" s="248"/>
      <c r="P25" s="203" t="s">
        <v>24</v>
      </c>
      <c r="Q25" s="176"/>
      <c r="R25" s="176"/>
      <c r="S25" s="176"/>
      <c r="T25" s="229">
        <f>K25*0.6</f>
        <v>0</v>
      </c>
      <c r="U25" s="229"/>
      <c r="V25" s="233"/>
      <c r="W25" s="233"/>
      <c r="X25" s="233"/>
      <c r="Y25" s="233"/>
      <c r="Z25" s="233"/>
      <c r="AA25" s="233"/>
      <c r="AB25" s="233"/>
      <c r="AC25" s="176"/>
      <c r="AD25" s="179"/>
      <c r="AE25" s="179"/>
      <c r="AF25" s="179"/>
      <c r="AG25" s="151"/>
      <c r="AH25" s="181"/>
      <c r="AI25" s="181"/>
      <c r="AJ25" s="152"/>
      <c r="AK25" s="152"/>
    </row>
    <row r="26" spans="1:37" ht="10.9" customHeight="1" x14ac:dyDescent="0.2">
      <c r="A26" s="142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6"/>
      <c r="R26" s="176"/>
      <c r="S26" s="176"/>
      <c r="T26" s="180"/>
      <c r="U26" s="180"/>
      <c r="V26" s="233"/>
      <c r="W26" s="233"/>
      <c r="X26" s="233"/>
      <c r="Y26" s="233"/>
      <c r="Z26" s="233"/>
      <c r="AA26" s="233"/>
      <c r="AB26" s="233"/>
      <c r="AC26" s="176"/>
      <c r="AD26" s="179"/>
      <c r="AE26" s="179"/>
      <c r="AF26" s="179"/>
      <c r="AG26" s="151"/>
      <c r="AH26" s="181"/>
      <c r="AI26" s="181"/>
      <c r="AJ26" s="152"/>
      <c r="AK26" s="152"/>
    </row>
    <row r="27" spans="1:37" ht="10.9" customHeight="1" x14ac:dyDescent="0.2">
      <c r="A27" s="142"/>
      <c r="B27" s="175"/>
      <c r="C27" s="203" t="s">
        <v>106</v>
      </c>
      <c r="D27" s="175"/>
      <c r="E27" s="175"/>
      <c r="F27" s="175"/>
      <c r="G27" s="175"/>
      <c r="H27" s="175"/>
      <c r="I27" s="175"/>
      <c r="J27" s="175"/>
      <c r="K27" s="248"/>
      <c r="L27" s="248"/>
      <c r="M27" s="248"/>
      <c r="N27" s="248"/>
      <c r="O27" s="248"/>
      <c r="P27" s="203" t="s">
        <v>24</v>
      </c>
      <c r="Q27" s="176"/>
      <c r="R27" s="176"/>
      <c r="S27" s="176"/>
      <c r="T27" s="228">
        <f>K27</f>
        <v>0</v>
      </c>
      <c r="U27" s="229"/>
      <c r="V27" s="233"/>
      <c r="W27" s="233"/>
      <c r="X27" s="233"/>
      <c r="Y27" s="233"/>
      <c r="Z27" s="233"/>
      <c r="AA27" s="233"/>
      <c r="AB27" s="233"/>
      <c r="AC27" s="176"/>
      <c r="AD27" s="179"/>
      <c r="AE27" s="179"/>
      <c r="AF27" s="179"/>
      <c r="AG27" s="151"/>
      <c r="AH27" s="181"/>
      <c r="AI27" s="181"/>
      <c r="AJ27" s="152"/>
      <c r="AK27" s="152"/>
    </row>
    <row r="28" spans="1:37" ht="10.9" customHeight="1" x14ac:dyDescent="0.2">
      <c r="A28" s="142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6"/>
      <c r="R28" s="176"/>
      <c r="S28" s="176"/>
      <c r="T28" s="176"/>
      <c r="U28" s="176"/>
      <c r="V28" s="233"/>
      <c r="W28" s="233"/>
      <c r="X28" s="233"/>
      <c r="Y28" s="233"/>
      <c r="Z28" s="233"/>
      <c r="AA28" s="233"/>
      <c r="AB28" s="233"/>
      <c r="AC28" s="176"/>
      <c r="AD28" s="179"/>
      <c r="AE28" s="179"/>
      <c r="AF28" s="179"/>
      <c r="AG28" s="151"/>
      <c r="AH28" s="181"/>
      <c r="AI28" s="181"/>
      <c r="AJ28" s="152"/>
      <c r="AK28" s="152"/>
    </row>
    <row r="29" spans="1:37" ht="10.9" customHeight="1" x14ac:dyDescent="0.2">
      <c r="A29" s="142"/>
      <c r="B29" s="175"/>
      <c r="C29" s="203" t="s">
        <v>23</v>
      </c>
      <c r="D29" s="175"/>
      <c r="E29" s="175"/>
      <c r="F29" s="175"/>
      <c r="G29" s="175"/>
      <c r="H29" s="175"/>
      <c r="I29" s="175"/>
      <c r="J29" s="175"/>
      <c r="K29" s="249">
        <v>0.75</v>
      </c>
      <c r="L29" s="249"/>
      <c r="M29" s="249"/>
      <c r="N29" s="249"/>
      <c r="O29" s="249"/>
      <c r="P29" s="175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9"/>
      <c r="AE29" s="179"/>
      <c r="AF29" s="179"/>
      <c r="AG29" s="151"/>
      <c r="AH29" s="181"/>
      <c r="AI29" s="181"/>
      <c r="AJ29" s="152"/>
      <c r="AK29" s="152"/>
    </row>
    <row r="30" spans="1:37" ht="10.9" customHeight="1" x14ac:dyDescent="0.2">
      <c r="A30" s="142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9"/>
      <c r="AE30" s="179"/>
      <c r="AF30" s="179"/>
      <c r="AG30" s="151"/>
      <c r="AH30" s="181"/>
      <c r="AI30" s="181"/>
      <c r="AJ30" s="152"/>
      <c r="AK30" s="152"/>
    </row>
    <row r="31" spans="1:37" ht="10.9" customHeight="1" x14ac:dyDescent="0.2">
      <c r="A31" s="142"/>
      <c r="B31" s="175"/>
      <c r="C31" s="145"/>
      <c r="D31" s="236" t="s">
        <v>5</v>
      </c>
      <c r="E31" s="237"/>
      <c r="F31" s="237"/>
      <c r="G31" s="237"/>
      <c r="H31" s="237"/>
      <c r="I31" s="237"/>
      <c r="J31" s="237"/>
      <c r="K31" s="237" t="s">
        <v>6</v>
      </c>
      <c r="L31" s="237"/>
      <c r="M31" s="237"/>
      <c r="N31" s="237"/>
      <c r="O31" s="261"/>
      <c r="P31" s="205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9"/>
      <c r="AE31" s="179"/>
      <c r="AF31" s="179"/>
      <c r="AG31" s="151"/>
      <c r="AH31" s="181"/>
      <c r="AI31" s="181"/>
      <c r="AJ31" s="152"/>
      <c r="AK31" s="152"/>
    </row>
    <row r="32" spans="1:37" ht="10.9" customHeight="1" x14ac:dyDescent="0.2">
      <c r="A32" s="142"/>
      <c r="B32" s="175"/>
      <c r="C32" s="145"/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61"/>
      <c r="P32" s="205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9"/>
      <c r="AE32" s="179"/>
      <c r="AF32" s="179"/>
      <c r="AG32" s="151"/>
      <c r="AH32" s="181"/>
      <c r="AI32" s="181"/>
      <c r="AJ32" s="152"/>
      <c r="AK32" s="152"/>
    </row>
    <row r="33" spans="1:37" ht="10.9" customHeight="1" x14ac:dyDescent="0.2">
      <c r="A33" s="142"/>
      <c r="B33" s="175"/>
      <c r="C33" s="145"/>
      <c r="D33" s="242" t="s">
        <v>13</v>
      </c>
      <c r="E33" s="243"/>
      <c r="F33" s="243"/>
      <c r="G33" s="243"/>
      <c r="H33" s="243"/>
      <c r="I33" s="243"/>
      <c r="J33" s="243"/>
      <c r="K33" s="262" t="s">
        <v>26</v>
      </c>
      <c r="L33" s="263"/>
      <c r="M33" s="247">
        <v>0.75</v>
      </c>
      <c r="N33" s="247"/>
      <c r="O33" s="247"/>
      <c r="P33" s="206"/>
      <c r="Q33" s="176"/>
      <c r="R33" s="176"/>
      <c r="S33" s="166"/>
      <c r="T33" s="166"/>
      <c r="U33" s="176"/>
      <c r="V33" s="176"/>
      <c r="W33" s="176"/>
      <c r="X33" s="176"/>
      <c r="Y33" s="176"/>
      <c r="Z33" s="176"/>
      <c r="AA33" s="176"/>
      <c r="AB33" s="176"/>
      <c r="AC33" s="176"/>
      <c r="AD33" s="179"/>
      <c r="AE33" s="179"/>
      <c r="AF33" s="179"/>
      <c r="AG33" s="151"/>
      <c r="AH33" s="181"/>
      <c r="AI33" s="181"/>
      <c r="AJ33" s="152"/>
      <c r="AK33" s="152"/>
    </row>
    <row r="34" spans="1:37" ht="10.9" customHeight="1" x14ac:dyDescent="0.2">
      <c r="A34" s="142"/>
      <c r="B34" s="175"/>
      <c r="C34" s="145"/>
      <c r="D34" s="240" t="s">
        <v>14</v>
      </c>
      <c r="E34" s="241"/>
      <c r="F34" s="241"/>
      <c r="G34" s="241"/>
      <c r="H34" s="241"/>
      <c r="I34" s="241"/>
      <c r="J34" s="241"/>
      <c r="K34" s="213" t="s">
        <v>26</v>
      </c>
      <c r="L34" s="214"/>
      <c r="M34" s="250">
        <v>0.8</v>
      </c>
      <c r="N34" s="250"/>
      <c r="O34" s="250"/>
      <c r="P34" s="206"/>
      <c r="Q34" s="176"/>
      <c r="R34" s="176"/>
      <c r="S34" s="166"/>
      <c r="T34" s="166"/>
      <c r="U34" s="176"/>
      <c r="V34" s="176"/>
      <c r="W34" s="176"/>
      <c r="X34" s="176"/>
      <c r="Y34" s="176"/>
      <c r="Z34" s="176"/>
      <c r="AA34" s="176"/>
      <c r="AB34" s="176"/>
      <c r="AC34" s="176"/>
      <c r="AD34" s="179"/>
      <c r="AE34" s="179"/>
      <c r="AF34" s="179"/>
      <c r="AG34" s="151"/>
      <c r="AH34" s="181"/>
      <c r="AI34" s="181"/>
      <c r="AJ34" s="152"/>
      <c r="AK34" s="152"/>
    </row>
    <row r="35" spans="1:37" ht="10.9" customHeight="1" x14ac:dyDescent="0.2">
      <c r="A35" s="142"/>
      <c r="B35" s="153"/>
      <c r="C35" s="145"/>
      <c r="D35" s="238" t="s">
        <v>15</v>
      </c>
      <c r="E35" s="239"/>
      <c r="F35" s="239"/>
      <c r="G35" s="239"/>
      <c r="H35" s="239"/>
      <c r="I35" s="239"/>
      <c r="J35" s="239"/>
      <c r="K35" s="255" t="s">
        <v>26</v>
      </c>
      <c r="L35" s="256"/>
      <c r="M35" s="251">
        <v>0.85</v>
      </c>
      <c r="N35" s="251"/>
      <c r="O35" s="251"/>
      <c r="P35" s="184"/>
      <c r="Q35" s="166"/>
      <c r="R35" s="166"/>
      <c r="S35" s="166"/>
      <c r="T35" s="166"/>
      <c r="U35" s="155"/>
      <c r="V35" s="155"/>
      <c r="W35" s="155"/>
      <c r="X35" s="155"/>
      <c r="Y35" s="155"/>
      <c r="Z35" s="155"/>
      <c r="AA35" s="155"/>
      <c r="AB35" s="166"/>
      <c r="AC35" s="166"/>
      <c r="AD35" s="179"/>
      <c r="AE35" s="179"/>
      <c r="AF35" s="179"/>
      <c r="AG35" s="151"/>
      <c r="AH35" s="181"/>
      <c r="AI35" s="181"/>
      <c r="AJ35" s="152"/>
      <c r="AK35" s="152"/>
    </row>
    <row r="36" spans="1:37" ht="10.9" customHeight="1" x14ac:dyDescent="0.2">
      <c r="A36" s="142"/>
      <c r="B36" s="153"/>
      <c r="C36" s="145"/>
      <c r="D36" s="154"/>
      <c r="E36" s="154"/>
      <c r="F36" s="154"/>
      <c r="G36" s="154"/>
      <c r="H36" s="154"/>
      <c r="I36" s="154"/>
      <c r="J36" s="154"/>
      <c r="K36" s="182"/>
      <c r="L36" s="182"/>
      <c r="M36" s="183"/>
      <c r="N36" s="183"/>
      <c r="O36" s="183"/>
      <c r="P36" s="184"/>
      <c r="Q36" s="166"/>
      <c r="R36" s="166"/>
      <c r="S36" s="166"/>
      <c r="T36" s="166"/>
      <c r="U36" s="155"/>
      <c r="V36" s="185"/>
      <c r="W36" s="230" t="str">
        <f>IF(G37&lt;=G19,"",CONCATENATE("ETWU cannot exceed MAWA"))</f>
        <v/>
      </c>
      <c r="X36" s="230"/>
      <c r="Y36" s="230"/>
      <c r="Z36" s="230"/>
      <c r="AA36" s="230"/>
      <c r="AB36" s="186"/>
      <c r="AC36" s="166"/>
      <c r="AD36" s="179"/>
      <c r="AE36" s="179"/>
      <c r="AF36" s="179"/>
      <c r="AG36" s="151"/>
      <c r="AH36" s="181"/>
      <c r="AI36" s="181"/>
      <c r="AJ36" s="152"/>
      <c r="AK36" s="152"/>
    </row>
    <row r="37" spans="1:37" ht="10.9" customHeight="1" x14ac:dyDescent="0.2">
      <c r="A37" s="142"/>
      <c r="B37" s="153"/>
      <c r="C37" s="203" t="s">
        <v>4</v>
      </c>
      <c r="D37" s="203"/>
      <c r="E37" s="187"/>
      <c r="F37" s="187"/>
      <c r="G37" s="234">
        <f>ROUND(K37, 0)</f>
        <v>0</v>
      </c>
      <c r="H37" s="234"/>
      <c r="I37" s="234"/>
      <c r="J37" s="235"/>
      <c r="K37" s="209">
        <f>(N4*0.62*(T23+T25+T27)/K29)/748</f>
        <v>0</v>
      </c>
      <c r="L37" s="210"/>
      <c r="M37" s="210"/>
      <c r="N37" s="210"/>
      <c r="O37" s="211"/>
      <c r="P37" s="203" t="s">
        <v>118</v>
      </c>
      <c r="Q37" s="166"/>
      <c r="R37" s="166"/>
      <c r="S37" s="166"/>
      <c r="T37" s="166"/>
      <c r="U37" s="155"/>
      <c r="V37" s="186"/>
      <c r="W37" s="230"/>
      <c r="X37" s="230"/>
      <c r="Y37" s="230"/>
      <c r="Z37" s="230"/>
      <c r="AA37" s="230"/>
      <c r="AB37" s="186"/>
      <c r="AC37" s="166"/>
      <c r="AD37" s="179"/>
      <c r="AE37" s="179"/>
      <c r="AF37" s="179"/>
      <c r="AG37" s="151"/>
      <c r="AH37" s="181"/>
      <c r="AI37" s="181"/>
      <c r="AJ37" s="152"/>
      <c r="AK37" s="152"/>
    </row>
    <row r="38" spans="1:37" ht="10.9" customHeight="1" x14ac:dyDescent="0.2">
      <c r="A38" s="142"/>
      <c r="B38" s="153"/>
      <c r="C38" s="162"/>
      <c r="D38" s="163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66"/>
      <c r="R38" s="166"/>
      <c r="S38" s="155"/>
      <c r="T38" s="155"/>
      <c r="U38" s="155"/>
      <c r="V38" s="155"/>
      <c r="W38" s="155"/>
      <c r="X38" s="155"/>
      <c r="Y38" s="155"/>
      <c r="Z38" s="155"/>
      <c r="AA38" s="155"/>
      <c r="AB38" s="166"/>
      <c r="AC38" s="166"/>
      <c r="AD38" s="179"/>
      <c r="AE38" s="179"/>
      <c r="AF38" s="179"/>
      <c r="AG38" s="151"/>
      <c r="AH38" s="181"/>
      <c r="AI38" s="181"/>
      <c r="AJ38" s="152"/>
      <c r="AK38" s="152"/>
    </row>
    <row r="39" spans="1:37" ht="10.9" customHeight="1" x14ac:dyDescent="0.2">
      <c r="A39" s="142"/>
      <c r="B39" s="225" t="s">
        <v>17</v>
      </c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7"/>
      <c r="AD39" s="147"/>
      <c r="AE39" s="147"/>
      <c r="AF39" s="147"/>
      <c r="AG39" s="151"/>
      <c r="AH39" s="181"/>
      <c r="AI39" s="181"/>
      <c r="AJ39" s="152"/>
      <c r="AK39" s="152"/>
    </row>
    <row r="40" spans="1:37" ht="10.9" customHeight="1" x14ac:dyDescent="0.2">
      <c r="A40" s="142"/>
      <c r="B40" s="223" t="s">
        <v>20</v>
      </c>
      <c r="C40" s="224"/>
      <c r="D40" s="224"/>
      <c r="E40" s="224"/>
      <c r="F40" s="231" t="s">
        <v>27</v>
      </c>
      <c r="G40" s="232"/>
      <c r="H40" s="232"/>
      <c r="I40" s="245">
        <f>G37*748</f>
        <v>0</v>
      </c>
      <c r="J40" s="245"/>
      <c r="K40" s="245"/>
      <c r="L40" s="245"/>
      <c r="M40" s="246"/>
      <c r="N40" s="231" t="s">
        <v>121</v>
      </c>
      <c r="O40" s="232"/>
      <c r="P40" s="232"/>
      <c r="Q40" s="245">
        <f>G37</f>
        <v>0</v>
      </c>
      <c r="R40" s="245"/>
      <c r="S40" s="245"/>
      <c r="T40" s="245"/>
      <c r="U40" s="246"/>
      <c r="V40" s="231" t="s">
        <v>28</v>
      </c>
      <c r="W40" s="232"/>
      <c r="X40" s="244">
        <f>G37/435.6</f>
        <v>0</v>
      </c>
      <c r="Y40" s="244"/>
      <c r="Z40" s="244"/>
      <c r="AA40" s="244"/>
      <c r="AB40" s="244"/>
      <c r="AC40" s="244"/>
      <c r="AD40" s="147"/>
      <c r="AE40" s="147"/>
      <c r="AF40" s="147"/>
      <c r="AG40" s="151"/>
      <c r="AH40" s="181"/>
      <c r="AI40" s="181"/>
      <c r="AJ40" s="152"/>
      <c r="AK40" s="152"/>
    </row>
    <row r="41" spans="1:37" ht="10.9" customHeight="1" x14ac:dyDescent="0.2">
      <c r="A41" s="142"/>
      <c r="B41" s="217" t="s">
        <v>7</v>
      </c>
      <c r="C41" s="218"/>
      <c r="D41" s="218"/>
      <c r="E41" s="218"/>
      <c r="F41" s="212" t="s">
        <v>107</v>
      </c>
      <c r="G41" s="212"/>
      <c r="H41" s="212"/>
      <c r="I41" s="212"/>
      <c r="J41" s="212" t="s">
        <v>108</v>
      </c>
      <c r="K41" s="212"/>
      <c r="L41" s="212"/>
      <c r="M41" s="212"/>
      <c r="N41" s="212" t="s">
        <v>109</v>
      </c>
      <c r="O41" s="212"/>
      <c r="P41" s="212"/>
      <c r="Q41" s="212"/>
      <c r="R41" s="212" t="s">
        <v>110</v>
      </c>
      <c r="S41" s="212"/>
      <c r="T41" s="212"/>
      <c r="U41" s="212"/>
      <c r="V41" s="212" t="s">
        <v>111</v>
      </c>
      <c r="W41" s="212"/>
      <c r="X41" s="212"/>
      <c r="Y41" s="212"/>
      <c r="Z41" s="212" t="s">
        <v>112</v>
      </c>
      <c r="AA41" s="212"/>
      <c r="AB41" s="212"/>
      <c r="AC41" s="222"/>
      <c r="AD41" s="147"/>
      <c r="AE41" s="147"/>
      <c r="AF41" s="147"/>
      <c r="AG41" s="151"/>
      <c r="AH41" s="181"/>
      <c r="AI41" s="181"/>
      <c r="AJ41" s="152"/>
      <c r="AK41" s="152"/>
    </row>
    <row r="42" spans="1:37" ht="10.9" customHeight="1" x14ac:dyDescent="0.2">
      <c r="A42" s="142"/>
      <c r="B42" s="217" t="s">
        <v>122</v>
      </c>
      <c r="C42" s="218"/>
      <c r="D42" s="218"/>
      <c r="E42" s="218"/>
      <c r="F42" s="220">
        <f>IF(K4=94920,'ZONE 1'!C30,IF(K4=94941,'ZONE 1'!C13,IF(K4=94965,'ZONE 1'!C30,IF(K4=94904,'ZONE 4'!C13,IF(K4=94925,'ZONE 4'!C13,IF(K4=94930,'ZONE 4'!C13,IF(K4=94939,'ZONE 4'!C13,IF(K4=94946,'ZONE 4'!C13, 0))))))))+IF(K4=94933,'ZONE 4'!C13,IF(K4=94957,'ZONE 4'!C13,IF(K4=94960,'ZONE 4'!C13,IF(K4=94963,'ZONE 4'!C13,IF(K4=94964,'ZONE 4'!C30,IF(K4=94973,'ZONE 4'!C13,IF(K4=94901,'ZONE 5'!C30,IF(K4=94903,'ZONE 5'!C30, 0))))))))</f>
        <v>0</v>
      </c>
      <c r="G42" s="220"/>
      <c r="H42" s="220"/>
      <c r="I42" s="220"/>
      <c r="J42" s="220">
        <f>IF(K4=94920,'ZONE 1'!E30,IF(K4=94941,'ZONE 1'!E13,IF(K4=94965,'ZONE 1'!E30,IF(K4=94904,'ZONE 4'!E13,IF(K4=94925,'ZONE 4'!E13,IF(K4=94930,'ZONE 4'!E13,IF(K4=94939,'ZONE 4'!E13,IF(K4=94946,'ZONE 4'!E13, 0))))))))+IF(K4=94933,'ZONE 4'!E13,IF(K4=94957,'ZONE 4'!E13,IF(K4=94960,'ZONE 4'!E13,IF(K4=94963,'ZONE 4'!E13,IF(K4=94964,'ZONE 4'!E30,IF(K4=94973,'ZONE 4'!E13,IF(K4=94901,'ZONE 5'!E30,IF(K4=94903,'ZONE 5'!E30, 0))))))))</f>
        <v>0</v>
      </c>
      <c r="K42" s="220"/>
      <c r="L42" s="220"/>
      <c r="M42" s="220"/>
      <c r="N42" s="220">
        <f>IF(K4=94920,'ZONE 1'!G30,IF(K4=94941,'ZONE 1'!G13,IF(K4=94965,'ZONE 1'!G30,IF(K4=94904,'ZONE 4'!G13,IF(K4=94925,'ZONE 4'!G13,IF(K4=94930,'ZONE 4'!G13,IF(K4=94939,'ZONE 4'!G13,IF(K4=94946,'ZONE 4'!G13, 0))))))))+IF(K4=94933,'ZONE 4'!G13,IF(K4=94957,'ZONE 4'!G13,IF(K4=94960,'ZONE 4'!G13,IF(K4=94963,'ZONE 4'!G13,IF(K4=94964,'ZONE 4'!G30,IF(K4=94973,'ZONE 4'!G13,IF(K4=94901,'ZONE 5'!G30,IF(K4=94903,'ZONE 5'!G30, 0))))))))</f>
        <v>0</v>
      </c>
      <c r="O42" s="220"/>
      <c r="P42" s="220"/>
      <c r="Q42" s="220"/>
      <c r="R42" s="220">
        <f>IF(K4=94920,'ZONE 1'!I30,IF(K4=94941,'ZONE 1'!I13,IF(K4=94965,'ZONE 1'!I30,IF(K4=94904,'ZONE 4'!I13,IF(K4=94925,'ZONE 4'!I13,IF(K4=94930,'ZONE 4'!I13,IF(K4=94939,'ZONE 4'!I13,IF(K4=94946,'ZONE 4'!I13, 0))))))))+IF(K4=94933,'ZONE 4'!I13,IF(K4=94957,'ZONE 4'!I13,IF(K4=94960,'ZONE 4'!I13,IF(K4=94963,'ZONE 4'!I13,IF(K4=94964,'ZONE 4'!I30,IF(K4=94973,'ZONE 4'!I13,IF(K4=94901,'ZONE 5'!I30,IF(K4=94903,'ZONE 5'!I30, 0))))))))</f>
        <v>0</v>
      </c>
      <c r="S42" s="220"/>
      <c r="T42" s="220"/>
      <c r="U42" s="220"/>
      <c r="V42" s="220">
        <f>IF(K4=94920,'ZONE 1'!K30,IF(K4=94941,'ZONE 1'!K13,IF(K4=94965,'ZONE 1'!K30,IF(K4=94904,'ZONE 4'!K13,IF(K4=94925,'ZONE 4'!K13,IF(K4=94930,'ZONE 4'!K13,IF(K4=94939,'ZONE 4'!K13,IF(K4=94946,'ZONE 4'!K13, 0))))))))+IF(K4=94933,'ZONE 4'!K13,IF(K4=94957,'ZONE 4'!K13,IF(K4=94960,'ZONE 4'!K13,IF(K4=94963,'ZONE 4'!K13,IF(K4=94964,'ZONE 4'!K30,IF(K4=94973,'ZONE 4'!K13,IF(K4=94901,'ZONE 5'!K30,IF(K4=94903,'ZONE 5'!K30, 0))))))))</f>
        <v>0</v>
      </c>
      <c r="W42" s="220"/>
      <c r="X42" s="220"/>
      <c r="Y42" s="220"/>
      <c r="Z42" s="220">
        <f>IF(K4=94920,'ZONE 1'!M30,IF(K4=94941,'ZONE 1'!M13,IF(K4=94965,'ZONE 1'!M30,IF(K4=94904,'ZONE 4'!M13,IF(K4=94925,'ZONE 4'!M13,IF(K4=94930,'ZONE 4'!M13,IF(K4=94939,'ZONE 4'!M13,IF(K4=94946,'ZONE 4'!M13, 0))))))))+IF(K4=94933,'ZONE 4'!M13,IF(K4=94957,'ZONE 4'!M13,IF(K4=94960,'ZONE 4'!M13,IF(K4=94963,'ZONE 4'!M13,IF(K4=94964,'ZONE 4'!M30,IF(K4=94973,'ZONE 4'!M13,IF(K4=94901,'ZONE 5'!M30,IF(K4=94903,'ZONE 5'!M30, 0))))))))</f>
        <v>0</v>
      </c>
      <c r="AA42" s="220"/>
      <c r="AB42" s="220"/>
      <c r="AC42" s="221"/>
      <c r="AD42" s="147"/>
      <c r="AE42" s="147"/>
      <c r="AF42" s="147"/>
      <c r="AG42" s="151"/>
      <c r="AH42" s="181"/>
      <c r="AI42" s="181"/>
      <c r="AJ42" s="152"/>
      <c r="AK42" s="152"/>
    </row>
    <row r="43" spans="1:37" ht="10.9" customHeight="1" x14ac:dyDescent="0.2">
      <c r="A43" s="142"/>
      <c r="B43" s="219" t="s">
        <v>120</v>
      </c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147"/>
      <c r="AE43" s="147"/>
      <c r="AF43" s="147"/>
      <c r="AG43" s="151"/>
      <c r="AH43" s="181"/>
      <c r="AI43" s="181"/>
      <c r="AJ43" s="152"/>
      <c r="AK43" s="152"/>
    </row>
    <row r="44" spans="1:37" ht="10.9" customHeight="1" x14ac:dyDescent="0.2">
      <c r="A44" s="142"/>
      <c r="B44" s="216" t="s">
        <v>119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08" t="s">
        <v>116</v>
      </c>
      <c r="AD44" s="147"/>
      <c r="AE44" s="147"/>
      <c r="AF44" s="147"/>
      <c r="AG44" s="151"/>
      <c r="AH44" s="181"/>
      <c r="AI44" s="181"/>
      <c r="AJ44" s="152"/>
      <c r="AK44" s="152"/>
    </row>
    <row r="45" spans="1:37" s="143" customFormat="1" ht="13.15" customHeight="1" x14ac:dyDescent="0.2">
      <c r="A45" s="142"/>
      <c r="B45" s="188"/>
      <c r="C45" s="188"/>
      <c r="D45" s="188"/>
      <c r="E45" s="188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207"/>
      <c r="AC45" s="207"/>
      <c r="AD45" s="147"/>
      <c r="AE45" s="147"/>
      <c r="AF45" s="147"/>
      <c r="AG45" s="151"/>
      <c r="AH45" s="151"/>
      <c r="AI45" s="151"/>
      <c r="AJ45" s="151"/>
      <c r="AK45" s="151"/>
    </row>
    <row r="46" spans="1:37" s="143" customFormat="1" ht="13.15" customHeight="1" x14ac:dyDescent="0.2">
      <c r="A46" s="142"/>
      <c r="B46" s="147"/>
      <c r="C46" s="147"/>
      <c r="D46" s="147"/>
      <c r="E46" s="147"/>
      <c r="F46" s="147"/>
      <c r="G46" s="147"/>
      <c r="H46" s="147"/>
      <c r="I46" s="147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47"/>
      <c r="AE46" s="147"/>
      <c r="AF46" s="147"/>
      <c r="AG46" s="151"/>
      <c r="AH46" s="151"/>
      <c r="AI46" s="151"/>
      <c r="AJ46" s="151"/>
      <c r="AK46" s="151"/>
    </row>
    <row r="47" spans="1:37" s="143" customFormat="1" ht="13.15" customHeight="1" x14ac:dyDescent="0.2">
      <c r="A47" s="142"/>
      <c r="B47" s="189"/>
      <c r="C47" s="189"/>
      <c r="D47" s="189"/>
      <c r="E47" s="189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47"/>
      <c r="AE47" s="147"/>
      <c r="AF47" s="147"/>
      <c r="AG47" s="151"/>
      <c r="AH47" s="151"/>
      <c r="AI47" s="151"/>
      <c r="AJ47" s="151"/>
      <c r="AK47" s="151"/>
    </row>
    <row r="48" spans="1:37" ht="13.15" customHeight="1" x14ac:dyDescent="0.2">
      <c r="B48" s="191"/>
      <c r="C48" s="191"/>
      <c r="D48" s="191"/>
      <c r="E48" s="191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52"/>
      <c r="AE48" s="152"/>
      <c r="AF48" s="152"/>
      <c r="AG48" s="151"/>
      <c r="AH48" s="152"/>
      <c r="AI48" s="152"/>
      <c r="AJ48" s="152"/>
      <c r="AK48" s="152"/>
    </row>
    <row r="49" spans="2:37" ht="13.15" customHeight="1" x14ac:dyDescent="0.2">
      <c r="B49" s="191"/>
      <c r="C49" s="191"/>
      <c r="D49" s="191"/>
      <c r="E49" s="191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52"/>
      <c r="AE49" s="152"/>
      <c r="AF49" s="152"/>
      <c r="AG49" s="151"/>
      <c r="AH49" s="152"/>
      <c r="AI49" s="152"/>
      <c r="AJ49" s="152"/>
      <c r="AK49" s="152"/>
    </row>
    <row r="50" spans="2:37" ht="13.15" customHeight="1" x14ac:dyDescent="0.2">
      <c r="B50" s="191"/>
      <c r="C50" s="191"/>
      <c r="D50" s="191"/>
      <c r="E50" s="191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52"/>
      <c r="AE50" s="152"/>
      <c r="AF50" s="152"/>
      <c r="AG50" s="151"/>
      <c r="AH50" s="152"/>
      <c r="AI50" s="152"/>
      <c r="AJ50" s="152"/>
      <c r="AK50" s="152"/>
    </row>
    <row r="51" spans="2:37" ht="13.15" customHeight="1" x14ac:dyDescent="0.2">
      <c r="B51" s="191"/>
      <c r="C51" s="191"/>
      <c r="D51" s="191"/>
      <c r="E51" s="191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52"/>
      <c r="AE51" s="152"/>
      <c r="AF51" s="152"/>
      <c r="AG51" s="151"/>
      <c r="AH51" s="152"/>
      <c r="AI51" s="152"/>
      <c r="AJ51" s="152"/>
      <c r="AK51" s="152"/>
    </row>
    <row r="52" spans="2:37" ht="13.15" customHeight="1" x14ac:dyDescent="0.2"/>
    <row r="53" spans="2:37" ht="13.15" customHeight="1" x14ac:dyDescent="0.2"/>
    <row r="54" spans="2:37" ht="13.15" customHeight="1" x14ac:dyDescent="0.2"/>
    <row r="55" spans="2:37" ht="13.15" customHeight="1" x14ac:dyDescent="0.2"/>
    <row r="56" spans="2:37" ht="13.15" customHeight="1" x14ac:dyDescent="0.2"/>
    <row r="57" spans="2:37" ht="13.15" customHeight="1" x14ac:dyDescent="0.2"/>
    <row r="58" spans="2:37" ht="13.15" customHeight="1" x14ac:dyDescent="0.2"/>
    <row r="59" spans="2:37" ht="13.15" customHeight="1" x14ac:dyDescent="0.2"/>
  </sheetData>
  <sheetProtection algorithmName="SHA-512" hashValue="Xk+4qUdKzKQYBtfYs4ID++j33gO1x0r7DAriJ3grKPtfb8K/AZA8oIhd64IBXN765XP6vUshT348eJDnWWbPrg==" saltValue="CbmW45/MsdUDvM9v+/vTww==" spinCount="100000" sheet="1" objects="1" scenarios="1" selectLockedCells="1"/>
  <protectedRanges>
    <protectedRange sqref="D15 K17" name="Range1"/>
  </protectedRanges>
  <sortState ref="AH2:AH16">
    <sortCondition ref="AH1"/>
  </sortState>
  <dataConsolidate/>
  <mergeCells count="68">
    <mergeCell ref="K15:O15"/>
    <mergeCell ref="C2:AB2"/>
    <mergeCell ref="H11:AB11"/>
    <mergeCell ref="H9:AB9"/>
    <mergeCell ref="C13:AB13"/>
    <mergeCell ref="H7:AB7"/>
    <mergeCell ref="K4:M4"/>
    <mergeCell ref="H10:AB10"/>
    <mergeCell ref="T4:U4"/>
    <mergeCell ref="N3:O3"/>
    <mergeCell ref="M35:O35"/>
    <mergeCell ref="T15:U15"/>
    <mergeCell ref="H8:AB8"/>
    <mergeCell ref="W17:X17"/>
    <mergeCell ref="K35:L35"/>
    <mergeCell ref="W15:X15"/>
    <mergeCell ref="W19:X19"/>
    <mergeCell ref="T19:U19"/>
    <mergeCell ref="C21:AB21"/>
    <mergeCell ref="T17:U17"/>
    <mergeCell ref="K17:O17"/>
    <mergeCell ref="G19:J19"/>
    <mergeCell ref="K31:O32"/>
    <mergeCell ref="K33:L33"/>
    <mergeCell ref="T25:U25"/>
    <mergeCell ref="T23:U23"/>
    <mergeCell ref="K23:O23"/>
    <mergeCell ref="K25:O25"/>
    <mergeCell ref="K27:O27"/>
    <mergeCell ref="K29:O29"/>
    <mergeCell ref="M34:O34"/>
    <mergeCell ref="T27:U27"/>
    <mergeCell ref="W36:AA37"/>
    <mergeCell ref="N40:P40"/>
    <mergeCell ref="V23:AB28"/>
    <mergeCell ref="G37:J37"/>
    <mergeCell ref="D31:J32"/>
    <mergeCell ref="D35:J35"/>
    <mergeCell ref="D34:J34"/>
    <mergeCell ref="D33:J33"/>
    <mergeCell ref="V40:W40"/>
    <mergeCell ref="X40:AC40"/>
    <mergeCell ref="K37:O37"/>
    <mergeCell ref="Q40:U40"/>
    <mergeCell ref="F40:H40"/>
    <mergeCell ref="I40:M40"/>
    <mergeCell ref="M33:O33"/>
    <mergeCell ref="J42:M42"/>
    <mergeCell ref="J41:M41"/>
    <mergeCell ref="N42:Q42"/>
    <mergeCell ref="B40:E40"/>
    <mergeCell ref="B39:AC39"/>
    <mergeCell ref="K19:O19"/>
    <mergeCell ref="N41:Q41"/>
    <mergeCell ref="K34:L34"/>
    <mergeCell ref="N4:O4"/>
    <mergeCell ref="B44:AB44"/>
    <mergeCell ref="B42:E42"/>
    <mergeCell ref="B41:E41"/>
    <mergeCell ref="B43:AC43"/>
    <mergeCell ref="Z42:AC42"/>
    <mergeCell ref="Z41:AC41"/>
    <mergeCell ref="V42:Y42"/>
    <mergeCell ref="V41:Y41"/>
    <mergeCell ref="R42:U42"/>
    <mergeCell ref="R41:U41"/>
    <mergeCell ref="F42:I42"/>
    <mergeCell ref="F41:I41"/>
  </mergeCells>
  <dataValidations count="4">
    <dataValidation type="list" allowBlank="1" showInputMessage="1" showErrorMessage="1" sqref="K29:O29">
      <formula1>Comm.Efficiency.Factor</formula1>
    </dataValidation>
    <dataValidation type="list" allowBlank="1" showInputMessage="1" showErrorMessage="1" sqref="V4">
      <formula1>Residential?</formula1>
    </dataValidation>
    <dataValidation type="list" allowBlank="1" showInputMessage="1" showErrorMessage="1" sqref="K4:M4">
      <formula1>$AH$2:$AH$18</formula1>
    </dataValidation>
    <dataValidation type="list" allowBlank="1" showInputMessage="1" showErrorMessage="1" sqref="T4:U4">
      <formula1>$X$3:$X$5</formula1>
    </dataValidation>
  </dataValidations>
  <pageMargins left="0.7" right="0.7" top="0.75" bottom="0.75" header="0.3" footer="0.3"/>
  <pageSetup orientation="portrait" r:id="rId1"/>
  <ignoredErrors>
    <ignoredError sqref="K37 G37 K19 G19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0"/>
  <sheetViews>
    <sheetView zoomScale="90" zoomScaleNormal="90" workbookViewId="0">
      <selection activeCell="C10" sqref="C10:N19"/>
    </sheetView>
  </sheetViews>
  <sheetFormatPr defaultRowHeight="12.75" x14ac:dyDescent="0.2"/>
  <cols>
    <col min="1" max="1" width="6.7109375" customWidth="1"/>
    <col min="2" max="2" width="34.7109375" customWidth="1"/>
    <col min="3" max="15" width="6.7109375" customWidth="1"/>
    <col min="16" max="17" width="8" customWidth="1"/>
    <col min="21" max="21" width="6.140625" style="99" bestFit="1" customWidth="1"/>
  </cols>
  <sheetData>
    <row r="1" spans="1:21" ht="16.149999999999999" customHeight="1" x14ac:dyDescent="0.2">
      <c r="A1" s="298" t="s">
        <v>102</v>
      </c>
      <c r="B1" s="76"/>
      <c r="C1" s="30"/>
      <c r="D1" s="80"/>
      <c r="E1" s="8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21" ht="16.149999999999999" customHeight="1" x14ac:dyDescent="0.3">
      <c r="A2" s="298"/>
      <c r="B2" s="77" t="s">
        <v>37</v>
      </c>
      <c r="C2" s="299" t="s">
        <v>98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30"/>
      <c r="P2" s="30"/>
      <c r="Q2" s="30"/>
      <c r="R2" s="30"/>
    </row>
    <row r="3" spans="1:21" ht="16.149999999999999" customHeight="1" x14ac:dyDescent="0.2">
      <c r="A3" s="298"/>
      <c r="B3" s="30"/>
      <c r="C3" s="36" t="s">
        <v>38</v>
      </c>
      <c r="D3" s="36" t="s">
        <v>39</v>
      </c>
      <c r="E3" s="36" t="s">
        <v>40</v>
      </c>
      <c r="F3" s="36" t="s">
        <v>41</v>
      </c>
      <c r="G3" s="36" t="s">
        <v>42</v>
      </c>
      <c r="H3" s="36" t="s">
        <v>43</v>
      </c>
      <c r="I3" s="36" t="s">
        <v>44</v>
      </c>
      <c r="J3" s="36" t="s">
        <v>45</v>
      </c>
      <c r="K3" s="36" t="s">
        <v>46</v>
      </c>
      <c r="L3" s="36" t="s">
        <v>47</v>
      </c>
      <c r="M3" s="36" t="s">
        <v>48</v>
      </c>
      <c r="N3" s="36" t="s">
        <v>49</v>
      </c>
      <c r="O3" s="80" t="s">
        <v>50</v>
      </c>
      <c r="P3" s="80" t="s">
        <v>51</v>
      </c>
      <c r="Q3" s="30"/>
      <c r="R3" s="30"/>
    </row>
    <row r="4" spans="1:21" ht="16.149999999999999" customHeight="1" x14ac:dyDescent="0.2">
      <c r="A4" s="298"/>
      <c r="B4" s="30" t="s">
        <v>52</v>
      </c>
      <c r="C4" s="37">
        <v>0.93</v>
      </c>
      <c r="D4" s="38">
        <v>1.4</v>
      </c>
      <c r="E4" s="39">
        <v>2.48</v>
      </c>
      <c r="F4" s="39">
        <v>3.3</v>
      </c>
      <c r="G4" s="39">
        <v>4.03</v>
      </c>
      <c r="H4" s="39">
        <v>4.5</v>
      </c>
      <c r="I4" s="39">
        <v>4.6500000000000004</v>
      </c>
      <c r="J4" s="39">
        <v>4.03</v>
      </c>
      <c r="K4" s="39">
        <v>3.3</v>
      </c>
      <c r="L4" s="39">
        <v>2.48</v>
      </c>
      <c r="M4" s="39">
        <v>1.2</v>
      </c>
      <c r="N4" s="37">
        <v>0.62</v>
      </c>
      <c r="O4" s="81">
        <f>SUM(D4:M4)</f>
        <v>31.37</v>
      </c>
      <c r="P4" s="82">
        <f>O4-O6</f>
        <v>27.795000000000002</v>
      </c>
      <c r="Q4" s="30"/>
      <c r="R4" s="30"/>
    </row>
    <row r="5" spans="1:21" ht="16.149999999999999" customHeight="1" x14ac:dyDescent="0.2">
      <c r="A5" s="298"/>
      <c r="B5" s="78" t="s">
        <v>53</v>
      </c>
      <c r="C5" s="40">
        <v>4.3</v>
      </c>
      <c r="D5" s="41">
        <v>4.2</v>
      </c>
      <c r="E5" s="41">
        <v>4.0999999999999996</v>
      </c>
      <c r="F5" s="41">
        <v>1.5</v>
      </c>
      <c r="G5" s="41">
        <v>0.5</v>
      </c>
      <c r="H5" s="41">
        <v>0.3</v>
      </c>
      <c r="I5" s="41">
        <v>0</v>
      </c>
      <c r="J5" s="41">
        <v>0</v>
      </c>
      <c r="K5" s="41">
        <v>0</v>
      </c>
      <c r="L5" s="41">
        <v>1.6</v>
      </c>
      <c r="M5" s="41">
        <v>2.1</v>
      </c>
      <c r="N5" s="40">
        <v>5.4</v>
      </c>
      <c r="O5" s="30"/>
      <c r="P5" s="30"/>
      <c r="Q5" s="30"/>
      <c r="R5" s="30"/>
    </row>
    <row r="6" spans="1:21" ht="16.149999999999999" customHeight="1" x14ac:dyDescent="0.2">
      <c r="A6" s="298"/>
      <c r="B6" s="79" t="s">
        <v>117</v>
      </c>
      <c r="C6" s="42">
        <f>C5*0.25</f>
        <v>1.075</v>
      </c>
      <c r="D6" s="43">
        <f t="shared" ref="D6:N6" si="0">D5*0.25</f>
        <v>1.05</v>
      </c>
      <c r="E6" s="43">
        <f t="shared" si="0"/>
        <v>1.0249999999999999</v>
      </c>
      <c r="F6" s="43">
        <f t="shared" si="0"/>
        <v>0.375</v>
      </c>
      <c r="G6" s="43">
        <f t="shared" si="0"/>
        <v>0.125</v>
      </c>
      <c r="H6" s="43">
        <f t="shared" si="0"/>
        <v>7.4999999999999997E-2</v>
      </c>
      <c r="I6" s="43">
        <f t="shared" si="0"/>
        <v>0</v>
      </c>
      <c r="J6" s="43">
        <f t="shared" si="0"/>
        <v>0</v>
      </c>
      <c r="K6" s="43">
        <f t="shared" si="0"/>
        <v>0</v>
      </c>
      <c r="L6" s="43">
        <f t="shared" si="0"/>
        <v>0.4</v>
      </c>
      <c r="M6" s="43">
        <f t="shared" si="0"/>
        <v>0.52500000000000002</v>
      </c>
      <c r="N6" s="42">
        <f t="shared" si="0"/>
        <v>1.35</v>
      </c>
      <c r="O6" s="83">
        <f>SUM(D6:M6)</f>
        <v>3.5750000000000002</v>
      </c>
      <c r="P6" s="30"/>
      <c r="Q6" s="30"/>
      <c r="R6" s="30"/>
    </row>
    <row r="7" spans="1:21" ht="16.149999999999999" customHeight="1" x14ac:dyDescent="0.2">
      <c r="A7" s="298"/>
      <c r="B7" s="76" t="s">
        <v>103</v>
      </c>
      <c r="C7" s="75">
        <v>0</v>
      </c>
      <c r="D7" s="44">
        <f>(D4-D6)/P4</f>
        <v>1.2592192840438922E-2</v>
      </c>
      <c r="E7" s="75">
        <f>(E4-E6)/P4</f>
        <v>5.2347544522396115E-2</v>
      </c>
      <c r="F7" s="45">
        <f>(F4-F6)/P4</f>
        <v>0.10523475445223959</v>
      </c>
      <c r="G7" s="75">
        <f>(G4-G6)/P4</f>
        <v>0.14049289440546861</v>
      </c>
      <c r="H7" s="46">
        <f>(H4-H6)/P4</f>
        <v>0.15920129519697787</v>
      </c>
      <c r="I7" s="75">
        <f>(I4-I6)/P4</f>
        <v>0.16729627630868862</v>
      </c>
      <c r="J7" s="47">
        <f>(J4-J6)/P4</f>
        <v>0.1449901061341968</v>
      </c>
      <c r="K7" s="75">
        <f>(K4-K6)/P4</f>
        <v>0.11872638963842416</v>
      </c>
      <c r="L7" s="48">
        <f>(L4-L6)/P4</f>
        <v>7.4833603166037058E-2</v>
      </c>
      <c r="M7" s="52">
        <f>(M4-M6)/P4</f>
        <v>2.4284943335132213E-2</v>
      </c>
      <c r="N7" s="49">
        <v>0</v>
      </c>
      <c r="O7" s="78"/>
      <c r="P7" s="78"/>
      <c r="Q7" s="78"/>
      <c r="R7" s="30"/>
    </row>
    <row r="8" spans="1:21" ht="16.149999999999999" customHeight="1" x14ac:dyDescent="0.2">
      <c r="A8" s="298"/>
      <c r="B8" s="30"/>
      <c r="C8" s="87"/>
      <c r="D8" s="87"/>
      <c r="E8" s="87"/>
      <c r="F8" s="87"/>
      <c r="G8" s="87"/>
      <c r="H8" s="87"/>
      <c r="I8" s="87"/>
      <c r="J8" s="87"/>
      <c r="K8" s="87"/>
      <c r="L8" s="87"/>
      <c r="M8" s="86"/>
      <c r="N8" s="86"/>
      <c r="O8" s="78"/>
      <c r="P8" s="78"/>
      <c r="Q8" s="78"/>
      <c r="R8" s="30"/>
    </row>
    <row r="9" spans="1:21" ht="16.149999999999999" customHeight="1" x14ac:dyDescent="0.2">
      <c r="A9" s="298"/>
      <c r="B9" s="30" t="s">
        <v>54</v>
      </c>
      <c r="C9" s="286" t="s">
        <v>55</v>
      </c>
      <c r="D9" s="286"/>
      <c r="E9" s="287" t="s">
        <v>56</v>
      </c>
      <c r="F9" s="287"/>
      <c r="G9" s="288" t="s">
        <v>57</v>
      </c>
      <c r="H9" s="288"/>
      <c r="I9" s="289" t="s">
        <v>58</v>
      </c>
      <c r="J9" s="289"/>
      <c r="K9" s="290" t="s">
        <v>59</v>
      </c>
      <c r="L9" s="290"/>
      <c r="M9" s="291" t="s">
        <v>60</v>
      </c>
      <c r="N9" s="291"/>
      <c r="O9" s="78"/>
      <c r="P9" s="78"/>
      <c r="Q9" s="18"/>
      <c r="R9" s="30"/>
    </row>
    <row r="10" spans="1:21" ht="16.149999999999999" customHeight="1" thickBot="1" x14ac:dyDescent="0.25">
      <c r="A10" s="298"/>
      <c r="B10" s="30"/>
      <c r="C10" s="292">
        <f>N7+M7*0.5+C7*0.5</f>
        <v>1.2142471667566107E-2</v>
      </c>
      <c r="D10" s="292"/>
      <c r="E10" s="293">
        <f>D7+C7*0.5+E7*0.5</f>
        <v>3.8765965101636976E-2</v>
      </c>
      <c r="F10" s="293"/>
      <c r="G10" s="294">
        <f>F7+E7*0.5+G7*0.5</f>
        <v>0.20165497391617193</v>
      </c>
      <c r="H10" s="294"/>
      <c r="I10" s="295">
        <f>H7+G7*0.5+I7*0.5</f>
        <v>0.31309588055405646</v>
      </c>
      <c r="J10" s="295"/>
      <c r="K10" s="296">
        <f>J7+I7*0.5+K7*0.5</f>
        <v>0.28800143910775322</v>
      </c>
      <c r="L10" s="296"/>
      <c r="M10" s="285">
        <f>L7+K7*0.5+M7*0.5</f>
        <v>0.14633926965281524</v>
      </c>
      <c r="N10" s="285"/>
      <c r="O10" s="78"/>
      <c r="P10" s="84" t="s">
        <v>61</v>
      </c>
      <c r="Q10" s="84" t="s">
        <v>62</v>
      </c>
      <c r="R10" s="30"/>
    </row>
    <row r="11" spans="1:21" ht="16.149999999999999" customHeight="1" x14ac:dyDescent="0.2">
      <c r="A11" s="298"/>
      <c r="B11" s="282" t="s">
        <v>114</v>
      </c>
      <c r="C11" s="278">
        <f>ROUNDDOWN(B13*C10,0)</f>
        <v>0</v>
      </c>
      <c r="D11" s="278"/>
      <c r="E11" s="278">
        <f>ROUNDDOWN(B13*E10,0)</f>
        <v>0</v>
      </c>
      <c r="F11" s="278"/>
      <c r="G11" s="278">
        <f>ROUNDDOWN(B13*G10,0)</f>
        <v>0</v>
      </c>
      <c r="H11" s="278"/>
      <c r="I11" s="278">
        <f>ROUNDDOWN(B13*I10,0)</f>
        <v>0</v>
      </c>
      <c r="J11" s="278"/>
      <c r="K11" s="278">
        <f>ROUNDDOWN(B13*K10,0)</f>
        <v>0</v>
      </c>
      <c r="L11" s="278"/>
      <c r="M11" s="278">
        <f>ROUNDDOWN(B13*M10,0)</f>
        <v>0</v>
      </c>
      <c r="N11" s="279"/>
      <c r="O11" s="78"/>
      <c r="P11" s="102">
        <f>SUM(C11:N11)</f>
        <v>0</v>
      </c>
      <c r="Q11" s="103">
        <f>B13-P11</f>
        <v>0</v>
      </c>
      <c r="R11" s="30"/>
    </row>
    <row r="12" spans="1:21" ht="16.149999999999999" customHeight="1" x14ac:dyDescent="0.2">
      <c r="A12" s="298"/>
      <c r="B12" s="283"/>
      <c r="C12" s="284"/>
      <c r="D12" s="284"/>
      <c r="E12" s="280">
        <f>IF(Q11=0,0,IF(Q11=1,0,IF(Q11=2,0,IF(Q11=3,0,IF(Q11=4,0,IF(Q11=5,1))))))</f>
        <v>0</v>
      </c>
      <c r="F12" s="280"/>
      <c r="G12" s="280">
        <f>IF(Q11=0,0,IF(Q11=1,0,IF(Q11=2,0,IF(Q11=3,1,IF(Q11=4,1,IF(Q11=5,1))))))</f>
        <v>0</v>
      </c>
      <c r="H12" s="280"/>
      <c r="I12" s="280">
        <f>IF(Q11=0,0,IF(Q11=1,1,IF(Q11=2,1,IF(Q11=3,1,IF(Q11=4,1,IF(Q11=5,1))))))</f>
        <v>0</v>
      </c>
      <c r="J12" s="280"/>
      <c r="K12" s="280">
        <f>IF(Q11=0,0,IF(Q11=1,0,IF(Q11=2,1,IF(Q11=3,1,IF(Q11=4,1,IF(Q11=5,1))))))</f>
        <v>0</v>
      </c>
      <c r="L12" s="280"/>
      <c r="M12" s="280">
        <f>IF(Q11=0,0,IF(Q11=1,0,IF(Q11=2,0,IF(Q11=3,0,IF(Q11=4,1,IF(Q11=5,1))))))</f>
        <v>0</v>
      </c>
      <c r="N12" s="281"/>
      <c r="O12" s="78"/>
      <c r="P12" s="104"/>
      <c r="Q12" s="105"/>
      <c r="R12" s="30"/>
    </row>
    <row r="13" spans="1:21" ht="16.149999999999999" customHeight="1" thickBot="1" x14ac:dyDescent="0.35">
      <c r="A13" s="298"/>
      <c r="B13" s="101">
        <f>MAWA.ETWU!G37</f>
        <v>0</v>
      </c>
      <c r="C13" s="276">
        <f>C11</f>
        <v>0</v>
      </c>
      <c r="D13" s="276"/>
      <c r="E13" s="276">
        <f>E11</f>
        <v>0</v>
      </c>
      <c r="F13" s="276"/>
      <c r="G13" s="276">
        <f>SUM(G11:H12)</f>
        <v>0</v>
      </c>
      <c r="H13" s="276"/>
      <c r="I13" s="276">
        <f>SUM(I11:J12)</f>
        <v>0</v>
      </c>
      <c r="J13" s="276"/>
      <c r="K13" s="297">
        <f>SUM(K11:L12)</f>
        <v>0</v>
      </c>
      <c r="L13" s="297"/>
      <c r="M13" s="276">
        <f>SUM(M11:N12)</f>
        <v>0</v>
      </c>
      <c r="N13" s="277"/>
      <c r="O13" s="78"/>
      <c r="P13" s="106">
        <f>SUM(C13:N13)</f>
        <v>0</v>
      </c>
      <c r="Q13" s="107">
        <f>B13-P13</f>
        <v>0</v>
      </c>
      <c r="R13" s="30"/>
    </row>
    <row r="14" spans="1:21" ht="16.149999999999999" customHeight="1" x14ac:dyDescent="0.2">
      <c r="A14" s="298"/>
      <c r="B14" s="271" t="s">
        <v>115</v>
      </c>
      <c r="C14" s="109">
        <f>C7*0.5+N7*0.5</f>
        <v>0</v>
      </c>
      <c r="D14" s="109">
        <f>D7*0.5+C7*0.5</f>
        <v>6.2960964202194609E-3</v>
      </c>
      <c r="E14" s="109">
        <f>E7*0.5+D7*0.5</f>
        <v>3.2469868681417519E-2</v>
      </c>
      <c r="F14" s="109">
        <f>F7*0.5+E7*0.5</f>
        <v>7.8791149487317858E-2</v>
      </c>
      <c r="G14" s="109">
        <f t="shared" ref="G14:N14" si="1">G7*0.5+F7*0.5</f>
        <v>0.1228638244288541</v>
      </c>
      <c r="H14" s="109">
        <f t="shared" si="1"/>
        <v>0.14984709480122324</v>
      </c>
      <c r="I14" s="109">
        <f t="shared" si="1"/>
        <v>0.16324878575283325</v>
      </c>
      <c r="J14" s="109">
        <f t="shared" si="1"/>
        <v>0.15614319122144271</v>
      </c>
      <c r="K14" s="109">
        <f t="shared" si="1"/>
        <v>0.13185824788631048</v>
      </c>
      <c r="L14" s="109">
        <f t="shared" si="1"/>
        <v>9.6779996402230617E-2</v>
      </c>
      <c r="M14" s="109">
        <f t="shared" si="1"/>
        <v>4.9559273250584637E-2</v>
      </c>
      <c r="N14" s="110">
        <f t="shared" si="1"/>
        <v>1.2142471667566107E-2</v>
      </c>
      <c r="O14" s="78"/>
      <c r="P14" s="115"/>
      <c r="Q14" s="116"/>
      <c r="R14" s="30"/>
      <c r="U14" s="100"/>
    </row>
    <row r="15" spans="1:21" ht="16.149999999999999" customHeight="1" x14ac:dyDescent="0.2">
      <c r="A15" s="298"/>
      <c r="B15" s="272"/>
      <c r="C15" s="111">
        <f>ROUNDDOWN(B17*C14,0)</f>
        <v>0</v>
      </c>
      <c r="D15" s="111">
        <f>ROUNDDOWN(B17*D14,0)</f>
        <v>0</v>
      </c>
      <c r="E15" s="111">
        <f>ROUNDDOWN(B17*E14,0)</f>
        <v>0</v>
      </c>
      <c r="F15" s="111">
        <f>ROUNDDOWN(B17*F14,0)</f>
        <v>0</v>
      </c>
      <c r="G15" s="111">
        <f>ROUNDDOWN(B17*G14,0)</f>
        <v>0</v>
      </c>
      <c r="H15" s="111">
        <f>ROUNDDOWN(B17*H14,0)</f>
        <v>0</v>
      </c>
      <c r="I15" s="111">
        <f>ROUNDDOWN(B17*I14,0)</f>
        <v>0</v>
      </c>
      <c r="J15" s="111">
        <f>ROUNDDOWN(B17*J14,0)</f>
        <v>0</v>
      </c>
      <c r="K15" s="111">
        <f>ROUNDDOWN(B17*K14,0)</f>
        <v>0</v>
      </c>
      <c r="L15" s="111">
        <f>ROUNDDOWN(B17*L14,0)</f>
        <v>0</v>
      </c>
      <c r="M15" s="111">
        <f>ROUNDDOWN(B17*M14,0)</f>
        <v>0</v>
      </c>
      <c r="N15" s="112">
        <f>ROUNDDOWN(B17*N14,0)</f>
        <v>0</v>
      </c>
      <c r="O15" s="78"/>
      <c r="P15" s="117">
        <f>SUM(C15:O15)</f>
        <v>0</v>
      </c>
      <c r="Q15" s="118">
        <f>B17-P15</f>
        <v>0</v>
      </c>
      <c r="R15" s="30"/>
    </row>
    <row r="16" spans="1:21" ht="16.149999999999999" customHeight="1" x14ac:dyDescent="0.2">
      <c r="A16" s="298"/>
      <c r="B16" s="273"/>
      <c r="C16" s="122"/>
      <c r="D16" s="122"/>
      <c r="E16" s="111">
        <f>IF(Q15=0,0,IF(Q15=1,0,IF(Q15=2,0,IF(Q15=3,0,IF(Q15=4,0,IF(Q15=5,0,IF(Q15=6,0,IF(Q15=7,0,IF(Q15=8,0,IF(Q15=9,1))))))))))</f>
        <v>0</v>
      </c>
      <c r="F16" s="111">
        <f>IF(Q15=0,0,IF(Q15=1,0,IF(Q15=2,0,IF(Q15=3,0,IF(Q15=4,0,IF(Q15=5,0,IF(Q15=6,0,IF(Q15=7,1,IF(Q15=8,1,IF(Q15=9,1))))))))))</f>
        <v>0</v>
      </c>
      <c r="G16" s="111">
        <f>IF(Q15=0,0,IF(Q15=1,0,IF(Q15=2,0,IF(Q15=3,0,IF(Q15=4,0,IF(Q15=5,1,IF(Q15=6,1,IF(Q15=7,1,IF(Q15=8,1,IF(Q15=9,1))))))))))</f>
        <v>0</v>
      </c>
      <c r="H16" s="111">
        <f>IF(Q15=0,0,IF(Q15=1,0,IF(Q15=2,0,IF(Q15=3,1,IF(Q15=4,1,IF(Q15=5,1,IF(Q15=6,1,IF(Q15=7,1,IF(Q15=8,1,IF(Q15=9,1))))))))))</f>
        <v>0</v>
      </c>
      <c r="I16" s="111">
        <f>IF(Q15=0,0,IF(Q15=1,1,IF(Q15=2,1,IF(Q15=3,1,IF(Q15=4,1,IF(Q15=5,1,IF(Q15=6,1,IF(Q15=7,1,IF(Q15=8,1,IF(Q15=9,1))))))))))</f>
        <v>0</v>
      </c>
      <c r="J16" s="111">
        <f>IF(Q15=0,0,IF(Q15=1,0,IF(Q15=2,1,IF(Q15=3,1,IF(Q15=4,1,IF(Q15=5,1,IF(Q15=6,1,IF(Q15=7,1,IF(Q15=8,1,IF(Q15=9,1))))))))))</f>
        <v>0</v>
      </c>
      <c r="K16" s="111">
        <f>IF(Q15=0,0,IF(Q15=1,0,IF(Q15=2,0,IF(Q15=3,0,IF(Q15=4,1,IF(Q15=5,1,IF(Q15=6,1,IF(Q15=7,1,IF(Q15=8,1,IF(Q15=9,1))))))))))</f>
        <v>0</v>
      </c>
      <c r="L16" s="111">
        <f>IF(Q15=0,0,IF(Q15=1,0,IF(Q15=2,0,IF(Q15=3,0,IF(Q15=4,0,IF(Q15=5,0,IF(Q15=6,1,IF(Q15=7,1,IF(Q15=8,1,IF(Q15=9,1))))))))))</f>
        <v>0</v>
      </c>
      <c r="M16" s="111">
        <f>IF(Q15=0,0,IF(Q15=1,0,IF(Q15=2,0,IF(Q15=3,0,IF(Q15=4,0,IF(Q15=5,0,IF(Q15=6,0,IF(Q15=7,0,IF(Q15=8,1,IF(Q15=9,1))))))))))</f>
        <v>0</v>
      </c>
      <c r="N16" s="123"/>
      <c r="O16" s="78"/>
      <c r="P16" s="117"/>
      <c r="Q16" s="118"/>
      <c r="R16" s="30"/>
    </row>
    <row r="17" spans="1:18" ht="16.149999999999999" customHeight="1" thickBot="1" x14ac:dyDescent="0.3">
      <c r="A17" s="298"/>
      <c r="B17" s="113">
        <f>'MAWA.ETWU Monthly'!G37</f>
        <v>0</v>
      </c>
      <c r="C17" s="114">
        <f>SUM(C15:C16)</f>
        <v>0</v>
      </c>
      <c r="D17" s="114">
        <f t="shared" ref="D17:N17" si="2">SUM(D15:D16)</f>
        <v>0</v>
      </c>
      <c r="E17" s="114">
        <f t="shared" si="2"/>
        <v>0</v>
      </c>
      <c r="F17" s="114">
        <f t="shared" si="2"/>
        <v>0</v>
      </c>
      <c r="G17" s="114">
        <f t="shared" si="2"/>
        <v>0</v>
      </c>
      <c r="H17" s="114">
        <f t="shared" si="2"/>
        <v>0</v>
      </c>
      <c r="I17" s="114">
        <f t="shared" si="2"/>
        <v>0</v>
      </c>
      <c r="J17" s="114">
        <f t="shared" si="2"/>
        <v>0</v>
      </c>
      <c r="K17" s="114">
        <f t="shared" si="2"/>
        <v>0</v>
      </c>
      <c r="L17" s="114">
        <f t="shared" si="2"/>
        <v>0</v>
      </c>
      <c r="M17" s="114">
        <f t="shared" si="2"/>
        <v>0</v>
      </c>
      <c r="N17" s="114">
        <f t="shared" si="2"/>
        <v>0</v>
      </c>
      <c r="O17" s="78"/>
      <c r="P17" s="119">
        <f>SUM(C17:N17)</f>
        <v>0</v>
      </c>
      <c r="Q17" s="120">
        <f>B17-P17</f>
        <v>0</v>
      </c>
      <c r="R17" s="30"/>
    </row>
    <row r="18" spans="1:18" ht="16.149999999999999" customHeight="1" x14ac:dyDescent="0.2">
      <c r="A18" s="298"/>
      <c r="B18" s="30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78"/>
      <c r="P18" s="84"/>
      <c r="Q18" s="84"/>
      <c r="R18" s="30"/>
    </row>
    <row r="19" spans="1:18" ht="16.149999999999999" customHeight="1" x14ac:dyDescent="0.3">
      <c r="A19" s="298"/>
      <c r="B19" s="77" t="s">
        <v>63</v>
      </c>
      <c r="C19" s="299" t="s">
        <v>97</v>
      </c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78"/>
      <c r="P19" s="84"/>
      <c r="Q19" s="84"/>
      <c r="R19" s="30"/>
    </row>
    <row r="20" spans="1:18" ht="16.149999999999999" customHeight="1" x14ac:dyDescent="0.2">
      <c r="A20" s="298"/>
      <c r="B20" s="30"/>
      <c r="C20" s="36" t="s">
        <v>38</v>
      </c>
      <c r="D20" s="36" t="s">
        <v>39</v>
      </c>
      <c r="E20" s="36" t="s">
        <v>40</v>
      </c>
      <c r="F20" s="36" t="s">
        <v>41</v>
      </c>
      <c r="G20" s="36" t="s">
        <v>42</v>
      </c>
      <c r="H20" s="36" t="s">
        <v>43</v>
      </c>
      <c r="I20" s="36" t="s">
        <v>44</v>
      </c>
      <c r="J20" s="36" t="s">
        <v>45</v>
      </c>
      <c r="K20" s="36" t="s">
        <v>46</v>
      </c>
      <c r="L20" s="36" t="s">
        <v>47</v>
      </c>
      <c r="M20" s="36" t="s">
        <v>48</v>
      </c>
      <c r="N20" s="36" t="s">
        <v>49</v>
      </c>
      <c r="O20" s="80" t="s">
        <v>50</v>
      </c>
      <c r="P20" s="80" t="s">
        <v>51</v>
      </c>
      <c r="Q20" s="84"/>
      <c r="R20" s="30"/>
    </row>
    <row r="21" spans="1:18" ht="16.149999999999999" customHeight="1" x14ac:dyDescent="0.2">
      <c r="A21" s="298"/>
      <c r="B21" s="30" t="s">
        <v>52</v>
      </c>
      <c r="C21" s="37">
        <v>0.93</v>
      </c>
      <c r="D21" s="38">
        <v>1.4</v>
      </c>
      <c r="E21" s="39">
        <v>2.48</v>
      </c>
      <c r="F21" s="39">
        <v>3.3</v>
      </c>
      <c r="G21" s="39">
        <v>4.03</v>
      </c>
      <c r="H21" s="39">
        <v>4.5</v>
      </c>
      <c r="I21" s="39">
        <v>4.6500000000000004</v>
      </c>
      <c r="J21" s="39">
        <v>4.03</v>
      </c>
      <c r="K21" s="39">
        <v>3.3</v>
      </c>
      <c r="L21" s="39">
        <v>2.48</v>
      </c>
      <c r="M21" s="39">
        <v>1.2</v>
      </c>
      <c r="N21" s="37">
        <v>0.62</v>
      </c>
      <c r="O21" s="81">
        <f>SUM(D21:M21)</f>
        <v>31.37</v>
      </c>
      <c r="P21" s="82">
        <f>O21-O23</f>
        <v>27.795000000000002</v>
      </c>
      <c r="Q21" s="84"/>
      <c r="R21" s="30"/>
    </row>
    <row r="22" spans="1:18" ht="16.149999999999999" customHeight="1" x14ac:dyDescent="0.2">
      <c r="A22" s="298"/>
      <c r="B22" s="78" t="s">
        <v>53</v>
      </c>
      <c r="C22" s="40">
        <v>4.3</v>
      </c>
      <c r="D22" s="41">
        <v>4.2</v>
      </c>
      <c r="E22" s="41">
        <v>4.0999999999999996</v>
      </c>
      <c r="F22" s="41">
        <v>1.5</v>
      </c>
      <c r="G22" s="41">
        <v>0.5</v>
      </c>
      <c r="H22" s="41">
        <v>0.3</v>
      </c>
      <c r="I22" s="41">
        <v>0</v>
      </c>
      <c r="J22" s="41">
        <v>0</v>
      </c>
      <c r="K22" s="41">
        <v>0</v>
      </c>
      <c r="L22" s="41">
        <v>1.6</v>
      </c>
      <c r="M22" s="41">
        <v>2.1</v>
      </c>
      <c r="N22" s="40">
        <v>5.4</v>
      </c>
      <c r="O22" s="30"/>
      <c r="P22" s="30"/>
      <c r="Q22" s="84"/>
      <c r="R22" s="30"/>
    </row>
    <row r="23" spans="1:18" ht="16.149999999999999" customHeight="1" x14ac:dyDescent="0.2">
      <c r="A23" s="298"/>
      <c r="B23" s="79" t="s">
        <v>117</v>
      </c>
      <c r="C23" s="42">
        <f>C22*0.25</f>
        <v>1.075</v>
      </c>
      <c r="D23" s="43">
        <f t="shared" ref="D23:N23" si="3">D22*0.25</f>
        <v>1.05</v>
      </c>
      <c r="E23" s="43">
        <f t="shared" si="3"/>
        <v>1.0249999999999999</v>
      </c>
      <c r="F23" s="43">
        <f t="shared" si="3"/>
        <v>0.375</v>
      </c>
      <c r="G23" s="43">
        <f t="shared" si="3"/>
        <v>0.125</v>
      </c>
      <c r="H23" s="43">
        <f t="shared" si="3"/>
        <v>7.4999999999999997E-2</v>
      </c>
      <c r="I23" s="43">
        <f t="shared" si="3"/>
        <v>0</v>
      </c>
      <c r="J23" s="43">
        <f t="shared" si="3"/>
        <v>0</v>
      </c>
      <c r="K23" s="43">
        <f t="shared" si="3"/>
        <v>0</v>
      </c>
      <c r="L23" s="43">
        <f t="shared" si="3"/>
        <v>0.4</v>
      </c>
      <c r="M23" s="43">
        <f t="shared" si="3"/>
        <v>0.52500000000000002</v>
      </c>
      <c r="N23" s="42">
        <f t="shared" si="3"/>
        <v>1.35</v>
      </c>
      <c r="O23" s="83">
        <f>SUM(D23:M23)</f>
        <v>3.5750000000000002</v>
      </c>
      <c r="P23" s="30"/>
      <c r="Q23" s="84"/>
      <c r="R23" s="30"/>
    </row>
    <row r="24" spans="1:18" ht="16.149999999999999" customHeight="1" x14ac:dyDescent="0.2">
      <c r="A24" s="298"/>
      <c r="B24" s="76" t="s">
        <v>103</v>
      </c>
      <c r="C24" s="50">
        <v>0</v>
      </c>
      <c r="D24" s="75">
        <f>(D21-D23)/P21</f>
        <v>1.2592192840438922E-2</v>
      </c>
      <c r="E24" s="44">
        <f>(E21-E23)/P21</f>
        <v>5.2347544522396115E-2</v>
      </c>
      <c r="F24" s="75">
        <f>(F21-F23)/P21</f>
        <v>0.10523475445223959</v>
      </c>
      <c r="G24" s="45">
        <f>(G21-G23)/P21</f>
        <v>0.14049289440546861</v>
      </c>
      <c r="H24" s="75">
        <f>(H21-H23)/P21</f>
        <v>0.15920129519697787</v>
      </c>
      <c r="I24" s="46">
        <f>(I21-I23)/P21</f>
        <v>0.16729627630868862</v>
      </c>
      <c r="J24" s="75">
        <f>(J21-J23)/P21</f>
        <v>0.1449901061341968</v>
      </c>
      <c r="K24" s="47">
        <f>(K21-K23)/P21</f>
        <v>0.11872638963842416</v>
      </c>
      <c r="L24" s="75">
        <f>(L21-L23)/P21</f>
        <v>7.4833603166037058E-2</v>
      </c>
      <c r="M24" s="51">
        <f>(M21-M23)/P21</f>
        <v>2.4284943335132213E-2</v>
      </c>
      <c r="N24" s="52">
        <v>0</v>
      </c>
      <c r="O24" s="78"/>
      <c r="P24" s="78"/>
      <c r="Q24" s="84"/>
      <c r="R24" s="30"/>
    </row>
    <row r="25" spans="1:18" ht="16.149999999999999" customHeight="1" x14ac:dyDescent="0.2">
      <c r="A25" s="298"/>
      <c r="B25" s="30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30"/>
      <c r="P25" s="84"/>
      <c r="Q25" s="84"/>
      <c r="R25" s="30"/>
    </row>
    <row r="26" spans="1:18" ht="16.149999999999999" customHeight="1" x14ac:dyDescent="0.2">
      <c r="A26" s="298"/>
      <c r="B26" s="30" t="s">
        <v>54</v>
      </c>
      <c r="C26" s="286" t="s">
        <v>64</v>
      </c>
      <c r="D26" s="286"/>
      <c r="E26" s="287" t="s">
        <v>65</v>
      </c>
      <c r="F26" s="287"/>
      <c r="G26" s="288" t="s">
        <v>66</v>
      </c>
      <c r="H26" s="288"/>
      <c r="I26" s="289" t="s">
        <v>67</v>
      </c>
      <c r="J26" s="289"/>
      <c r="K26" s="290" t="s">
        <v>68</v>
      </c>
      <c r="L26" s="290"/>
      <c r="M26" s="291" t="s">
        <v>69</v>
      </c>
      <c r="N26" s="291"/>
      <c r="O26" s="30"/>
      <c r="P26" s="84"/>
      <c r="Q26" s="84"/>
      <c r="R26" s="30"/>
    </row>
    <row r="27" spans="1:18" ht="16.149999999999999" customHeight="1" thickBot="1" x14ac:dyDescent="0.25">
      <c r="A27" s="298"/>
      <c r="B27" s="30"/>
      <c r="C27" s="292">
        <f>C24+N24*0.5+D24*0.5</f>
        <v>6.2960964202194609E-3</v>
      </c>
      <c r="D27" s="292"/>
      <c r="E27" s="293">
        <f>E24+D24*0.5+F24*0.5</f>
        <v>0.11126101816873538</v>
      </c>
      <c r="F27" s="293"/>
      <c r="G27" s="294">
        <f>G24+F24*0.5+H24*0.5</f>
        <v>0.27271091923007734</v>
      </c>
      <c r="H27" s="294"/>
      <c r="I27" s="295">
        <f>I24+H24*0.5+J24*0.5</f>
        <v>0.31939197697427596</v>
      </c>
      <c r="J27" s="295"/>
      <c r="K27" s="296">
        <f>K24+J24*0.5+L24*0.5</f>
        <v>0.22863824428854107</v>
      </c>
      <c r="L27" s="296"/>
      <c r="M27" s="285">
        <f>M24+L24*0.5+N24*0.5</f>
        <v>6.1701744918150739E-2</v>
      </c>
      <c r="N27" s="285"/>
      <c r="O27" s="30"/>
      <c r="P27" s="84" t="s">
        <v>61</v>
      </c>
      <c r="Q27" s="84" t="s">
        <v>62</v>
      </c>
      <c r="R27" s="30"/>
    </row>
    <row r="28" spans="1:18" ht="16.149999999999999" customHeight="1" x14ac:dyDescent="0.2">
      <c r="A28" s="298"/>
      <c r="B28" s="282" t="s">
        <v>114</v>
      </c>
      <c r="C28" s="278">
        <f>ROUNDDOWN(B30*C27,0)</f>
        <v>0</v>
      </c>
      <c r="D28" s="278"/>
      <c r="E28" s="278">
        <f>ROUNDDOWN(B30*E27,0)</f>
        <v>0</v>
      </c>
      <c r="F28" s="278"/>
      <c r="G28" s="278">
        <f>ROUNDDOWN(B30*G27,0)</f>
        <v>0</v>
      </c>
      <c r="H28" s="278"/>
      <c r="I28" s="278">
        <f>ROUNDDOWN(B30*I27,0)</f>
        <v>0</v>
      </c>
      <c r="J28" s="278"/>
      <c r="K28" s="278">
        <f>ROUNDDOWN(B30*K27,0)</f>
        <v>0</v>
      </c>
      <c r="L28" s="278"/>
      <c r="M28" s="278">
        <f>ROUNDDOWN(B30*M27,0)</f>
        <v>0</v>
      </c>
      <c r="N28" s="279"/>
      <c r="O28" s="78"/>
      <c r="P28" s="108">
        <f>SUM(C28:N28)</f>
        <v>0</v>
      </c>
      <c r="Q28" s="108">
        <f>B30-P28</f>
        <v>0</v>
      </c>
      <c r="R28" s="30"/>
    </row>
    <row r="29" spans="1:18" ht="16.149999999999999" customHeight="1" x14ac:dyDescent="0.2">
      <c r="A29" s="298"/>
      <c r="B29" s="283"/>
      <c r="C29" s="284"/>
      <c r="D29" s="284"/>
      <c r="E29" s="280">
        <f>IF(Q28=0,0,IF(Q28=1,0,IF(Q28=2,0,IF(Q28=3,0,IF(Q28=4,1,IF(Q28=5,1))))))</f>
        <v>0</v>
      </c>
      <c r="F29" s="280"/>
      <c r="G29" s="280">
        <f>IF(Q28=0,0,IF(Q28=1,0,IF(Q28=2,1,IF(Q28=3,1,IF(Q28=4,1,IF(Q28=5,1))))))</f>
        <v>0</v>
      </c>
      <c r="H29" s="280"/>
      <c r="I29" s="280">
        <f>IF(Q28=0,0,IF(Q28=1,1,IF(Q28=2,1,IF(Q28=3,1,IF(Q28=4,1,IF(Q28=5,1))))))</f>
        <v>0</v>
      </c>
      <c r="J29" s="280"/>
      <c r="K29" s="280">
        <f>IF(Q28=0,0,IF(Q28=1,0,IF(Q28=2,0,IF(Q28=3,1,IF(Q28=4,1,IF(Q28=5,1))))))</f>
        <v>0</v>
      </c>
      <c r="L29" s="280"/>
      <c r="M29" s="280">
        <f>IF(Q28=0,0,IF(Q28=1,0,IF(Q28=2,0,IF(Q28=3,0,IF(Q28=4,0,IF(Q28=5,1))))))</f>
        <v>0</v>
      </c>
      <c r="N29" s="281"/>
      <c r="O29" s="78"/>
      <c r="P29" s="108"/>
      <c r="Q29" s="108"/>
      <c r="R29" s="30"/>
    </row>
    <row r="30" spans="1:18" ht="16.149999999999999" customHeight="1" thickBot="1" x14ac:dyDescent="0.35">
      <c r="A30" s="298"/>
      <c r="B30" s="101">
        <f>MAWA.ETWU!G37</f>
        <v>0</v>
      </c>
      <c r="C30" s="276">
        <f>SUM(C28:D29)</f>
        <v>0</v>
      </c>
      <c r="D30" s="276"/>
      <c r="E30" s="276">
        <f t="shared" ref="E30" si="4">SUM(E28:F29)</f>
        <v>0</v>
      </c>
      <c r="F30" s="276"/>
      <c r="G30" s="276">
        <f t="shared" ref="G30" si="5">SUM(G28:H29)</f>
        <v>0</v>
      </c>
      <c r="H30" s="276"/>
      <c r="I30" s="276">
        <f t="shared" ref="I30" si="6">SUM(I28:J29)</f>
        <v>0</v>
      </c>
      <c r="J30" s="276"/>
      <c r="K30" s="276">
        <f t="shared" ref="K30" si="7">SUM(K28:L29)</f>
        <v>0</v>
      </c>
      <c r="L30" s="276"/>
      <c r="M30" s="276">
        <f t="shared" ref="M30" si="8">SUM(M28:N29)</f>
        <v>0</v>
      </c>
      <c r="N30" s="277"/>
      <c r="O30" s="78"/>
      <c r="P30" s="108">
        <f>SUM(C30:N30)</f>
        <v>0</v>
      </c>
      <c r="Q30" s="108">
        <f>B30-P30</f>
        <v>0</v>
      </c>
      <c r="R30" s="30"/>
    </row>
    <row r="31" spans="1:18" ht="16.149999999999999" customHeight="1" x14ac:dyDescent="0.2">
      <c r="A31" s="298"/>
      <c r="B31" s="271" t="s">
        <v>115</v>
      </c>
      <c r="C31" s="109">
        <f>C24*0.5+N24*0.5</f>
        <v>0</v>
      </c>
      <c r="D31" s="109">
        <f>D24*0.5+C24*0.5</f>
        <v>6.2960964202194609E-3</v>
      </c>
      <c r="E31" s="109">
        <f>E24*0.5+D24*0.5</f>
        <v>3.2469868681417519E-2</v>
      </c>
      <c r="F31" s="109">
        <f>F24*0.5+E24*0.5</f>
        <v>7.8791149487317858E-2</v>
      </c>
      <c r="G31" s="109">
        <f t="shared" ref="G31:N31" si="9">G24*0.5+F24*0.5</f>
        <v>0.1228638244288541</v>
      </c>
      <c r="H31" s="109">
        <f t="shared" si="9"/>
        <v>0.14984709480122324</v>
      </c>
      <c r="I31" s="109">
        <f t="shared" si="9"/>
        <v>0.16324878575283325</v>
      </c>
      <c r="J31" s="109">
        <f t="shared" si="9"/>
        <v>0.15614319122144271</v>
      </c>
      <c r="K31" s="109">
        <f t="shared" si="9"/>
        <v>0.13185824788631048</v>
      </c>
      <c r="L31" s="109">
        <f t="shared" si="9"/>
        <v>9.6779996402230617E-2</v>
      </c>
      <c r="M31" s="109">
        <f t="shared" si="9"/>
        <v>4.9559273250584637E-2</v>
      </c>
      <c r="N31" s="110">
        <f t="shared" si="9"/>
        <v>1.2142471667566107E-2</v>
      </c>
      <c r="O31" s="78"/>
      <c r="P31" s="115"/>
      <c r="Q31" s="116"/>
      <c r="R31" s="30"/>
    </row>
    <row r="32" spans="1:18" ht="16.149999999999999" customHeight="1" x14ac:dyDescent="0.2">
      <c r="A32" s="298"/>
      <c r="B32" s="272"/>
      <c r="C32" s="111">
        <f>ROUNDDOWN(B34*C31,0)</f>
        <v>0</v>
      </c>
      <c r="D32" s="111">
        <f>ROUNDDOWN(B34*D31,0)</f>
        <v>0</v>
      </c>
      <c r="E32" s="111">
        <f>ROUNDDOWN(B34*E31,0)</f>
        <v>0</v>
      </c>
      <c r="F32" s="111">
        <f>ROUNDDOWN(B34*F31,0)</f>
        <v>0</v>
      </c>
      <c r="G32" s="111">
        <f>ROUNDDOWN(B34*G31,0)</f>
        <v>0</v>
      </c>
      <c r="H32" s="111">
        <f>ROUNDDOWN(B34*H31,0)</f>
        <v>0</v>
      </c>
      <c r="I32" s="111">
        <f>ROUNDDOWN(B34*I31,0)</f>
        <v>0</v>
      </c>
      <c r="J32" s="111">
        <f>ROUNDDOWN(B34*J31,0)</f>
        <v>0</v>
      </c>
      <c r="K32" s="111">
        <f>ROUNDDOWN(B34*K31,0)</f>
        <v>0</v>
      </c>
      <c r="L32" s="111">
        <f>ROUNDDOWN(B34*L31,0)</f>
        <v>0</v>
      </c>
      <c r="M32" s="111">
        <f>ROUNDDOWN(B34*M31,0)</f>
        <v>0</v>
      </c>
      <c r="N32" s="112">
        <f>ROUNDDOWN(B34*N31,0)</f>
        <v>0</v>
      </c>
      <c r="O32" s="78"/>
      <c r="P32" s="117">
        <f>SUM(C32:O32)</f>
        <v>0</v>
      </c>
      <c r="Q32" s="118">
        <f>B34-P32</f>
        <v>0</v>
      </c>
      <c r="R32" s="30"/>
    </row>
    <row r="33" spans="1:19" ht="16.149999999999999" customHeight="1" x14ac:dyDescent="0.2">
      <c r="A33" s="298"/>
      <c r="B33" s="273"/>
      <c r="C33" s="122"/>
      <c r="D33" s="122"/>
      <c r="E33" s="111">
        <f>IF(Q32=0,0,IF(Q32=1,0,IF(Q32=2,0,IF(Q32=3,0,IF(Q32=4,0,IF(Q32=5,0,IF(Q32=6,0,IF(Q32=7,0,IF(Q32=8,0,IF(Q32=9,1))))))))))</f>
        <v>0</v>
      </c>
      <c r="F33" s="111">
        <f>IF(Q32=0,0,IF(Q32=1,0,IF(Q32=2,0,IF(Q32=3,0,IF(Q32=4,0,IF(Q32=5,0,IF(Q32=6,0,IF(Q32=7,1,IF(Q32=8,1,IF(Q32=9,1))))))))))</f>
        <v>0</v>
      </c>
      <c r="G33" s="111">
        <f>IF(Q32=0,0,IF(Q32=1,0,IF(Q32=2,0,IF(Q32=3,0,IF(Q32=4,0,IF(Q32=5,1,IF(Q32=6,1,IF(Q32=7,1,IF(Q32=8,1,IF(Q32=9,1))))))))))</f>
        <v>0</v>
      </c>
      <c r="H33" s="111">
        <f>IF(Q32=0,0,IF(Q32=1,0,IF(Q32=2,0,IF(Q32=3,1,IF(Q32=4,1,IF(Q32=5,1,IF(Q32=6,1,IF(Q32=7,1,IF(Q32=8,1,IF(Q32=9,1))))))))))</f>
        <v>0</v>
      </c>
      <c r="I33" s="111">
        <f>IF(Q32=0,0,IF(Q32=1,1,IF(Q32=2,1,IF(Q32=3,1,IF(Q32=4,1,IF(Q32=5,1,IF(Q32=6,1,IF(Q32=7,1,IF(Q32=8,1,IF(Q32=9,1))))))))))</f>
        <v>0</v>
      </c>
      <c r="J33" s="111">
        <f>IF(Q32=0,0,IF(Q32=1,0,IF(Q32=2,1,IF(Q32=3,1,IF(Q32=4,1,IF(Q32=5,1,IF(Q32=6,1,IF(Q32=7,1,IF(Q32=8,1,IF(Q32=9,1))))))))))</f>
        <v>0</v>
      </c>
      <c r="K33" s="111">
        <f>IF(Q32=0,0,IF(Q32=1,0,IF(Q32=2,0,IF(Q32=3,0,IF(Q32=4,1,IF(Q32=5,1,IF(Q32=6,1,IF(Q32=7,1,IF(Q32=8,1,IF(Q32=9,1))))))))))</f>
        <v>0</v>
      </c>
      <c r="L33" s="111">
        <f>IF(Q32=0,0,IF(Q32=1,0,IF(Q32=2,0,IF(Q32=3,0,IF(Q32=4,0,IF(Q32=5,0,IF(Q32=6,1,IF(Q32=7,1,IF(Q32=8,1,IF(Q32=9,1))))))))))</f>
        <v>0</v>
      </c>
      <c r="M33" s="111">
        <f>IF(Q32=0,0,IF(Q32=1,0,IF(Q32=2,0,IF(Q32=3,0,IF(Q32=4,0,IF(Q32=5,0,IF(Q32=6,0,IF(Q32=7,0,IF(Q32=8,1,IF(Q32=9,1))))))))))</f>
        <v>0</v>
      </c>
      <c r="N33" s="123"/>
      <c r="O33" s="78"/>
      <c r="P33" s="117"/>
      <c r="Q33" s="118"/>
      <c r="R33" s="30"/>
    </row>
    <row r="34" spans="1:19" ht="16.149999999999999" customHeight="1" thickBot="1" x14ac:dyDescent="0.3">
      <c r="A34" s="298"/>
      <c r="B34" s="113">
        <f>'MAWA.ETWU Monthly'!G37</f>
        <v>0</v>
      </c>
      <c r="C34" s="114">
        <f>SUM(C32:C33)</f>
        <v>0</v>
      </c>
      <c r="D34" s="114">
        <f t="shared" ref="D34" si="10">SUM(D32:D33)</f>
        <v>0</v>
      </c>
      <c r="E34" s="114">
        <f t="shared" ref="E34" si="11">SUM(E32:E33)</f>
        <v>0</v>
      </c>
      <c r="F34" s="114">
        <f t="shared" ref="F34" si="12">SUM(F32:F33)</f>
        <v>0</v>
      </c>
      <c r="G34" s="114">
        <f t="shared" ref="G34" si="13">SUM(G32:G33)</f>
        <v>0</v>
      </c>
      <c r="H34" s="114">
        <f t="shared" ref="H34" si="14">SUM(H32:H33)</f>
        <v>0</v>
      </c>
      <c r="I34" s="114">
        <f t="shared" ref="I34" si="15">SUM(I32:I33)</f>
        <v>0</v>
      </c>
      <c r="J34" s="114">
        <f t="shared" ref="J34" si="16">SUM(J32:J33)</f>
        <v>0</v>
      </c>
      <c r="K34" s="114">
        <f t="shared" ref="K34" si="17">SUM(K32:K33)</f>
        <v>0</v>
      </c>
      <c r="L34" s="114">
        <f t="shared" ref="L34" si="18">SUM(L32:L33)</f>
        <v>0</v>
      </c>
      <c r="M34" s="114">
        <f t="shared" ref="M34" si="19">SUM(M32:M33)</f>
        <v>0</v>
      </c>
      <c r="N34" s="114">
        <f t="shared" ref="N34" si="20">SUM(N32:N33)</f>
        <v>0</v>
      </c>
      <c r="O34" s="78"/>
      <c r="P34" s="119">
        <f>SUM(C34:N34)</f>
        <v>0</v>
      </c>
      <c r="Q34" s="120">
        <f>B34-P34</f>
        <v>0</v>
      </c>
      <c r="R34" s="30"/>
    </row>
    <row r="35" spans="1:19" ht="16.149999999999999" customHeight="1" x14ac:dyDescent="0.2">
      <c r="A35" s="298"/>
      <c r="B35" s="30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30"/>
      <c r="P35" s="30"/>
      <c r="Q35" s="30"/>
      <c r="R35" s="30"/>
    </row>
    <row r="36" spans="1:19" ht="16.149999999999999" customHeight="1" x14ac:dyDescent="0.2">
      <c r="A36" s="298"/>
      <c r="B36" s="30"/>
      <c r="C36" s="275" t="s">
        <v>70</v>
      </c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30"/>
      <c r="P36" s="30"/>
      <c r="Q36" s="30"/>
      <c r="R36" s="30"/>
    </row>
    <row r="37" spans="1:19" ht="16.149999999999999" customHeight="1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9" ht="16.149999999999999" customHeight="1" x14ac:dyDescent="0.2">
      <c r="A38" s="1"/>
      <c r="B38" s="91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1"/>
      <c r="P38" s="1"/>
      <c r="Q38" s="1"/>
      <c r="R38" s="1"/>
      <c r="S38" s="1"/>
    </row>
    <row r="39" spans="1:19" ht="16.14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6.14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6.14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6.14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6.14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6.14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6.14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6.14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6.14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6.14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6.14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6.14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6.14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6.14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6.14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6.14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6.14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6.14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6.14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</sheetData>
  <sheetProtection password="CC45" sheet="1" objects="1" scenarios="1"/>
  <mergeCells count="74">
    <mergeCell ref="A1:A36"/>
    <mergeCell ref="C9:D9"/>
    <mergeCell ref="E9:F9"/>
    <mergeCell ref="G9:H9"/>
    <mergeCell ref="B11:B12"/>
    <mergeCell ref="C11:D11"/>
    <mergeCell ref="E11:F11"/>
    <mergeCell ref="G11:H11"/>
    <mergeCell ref="C19:N19"/>
    <mergeCell ref="C2:N2"/>
    <mergeCell ref="K9:L9"/>
    <mergeCell ref="M9:N9"/>
    <mergeCell ref="C10:D10"/>
    <mergeCell ref="E10:F10"/>
    <mergeCell ref="G10:H10"/>
    <mergeCell ref="I10:J10"/>
    <mergeCell ref="K10:L10"/>
    <mergeCell ref="M10:N10"/>
    <mergeCell ref="I9:J9"/>
    <mergeCell ref="M13:N13"/>
    <mergeCell ref="I11:J11"/>
    <mergeCell ref="K11:L11"/>
    <mergeCell ref="M11:N11"/>
    <mergeCell ref="M12:N12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M27:N27"/>
    <mergeCell ref="C26:D26"/>
    <mergeCell ref="E26:F26"/>
    <mergeCell ref="G26:H26"/>
    <mergeCell ref="I26:J26"/>
    <mergeCell ref="K26:L26"/>
    <mergeCell ref="M26:N26"/>
    <mergeCell ref="C27:D27"/>
    <mergeCell ref="E27:F27"/>
    <mergeCell ref="G27:H27"/>
    <mergeCell ref="I27:J27"/>
    <mergeCell ref="K27:L27"/>
    <mergeCell ref="M29:N29"/>
    <mergeCell ref="K28:L28"/>
    <mergeCell ref="B28:B29"/>
    <mergeCell ref="C28:D28"/>
    <mergeCell ref="E28:F28"/>
    <mergeCell ref="G28:H28"/>
    <mergeCell ref="I28:J28"/>
    <mergeCell ref="C29:D29"/>
    <mergeCell ref="E29:F29"/>
    <mergeCell ref="G29:H29"/>
    <mergeCell ref="I29:J29"/>
    <mergeCell ref="K29:L29"/>
    <mergeCell ref="B14:B16"/>
    <mergeCell ref="B31:B33"/>
    <mergeCell ref="M38:N38"/>
    <mergeCell ref="C38:D38"/>
    <mergeCell ref="E38:F38"/>
    <mergeCell ref="G38:H38"/>
    <mergeCell ref="I38:J38"/>
    <mergeCell ref="K38:L38"/>
    <mergeCell ref="C36:N36"/>
    <mergeCell ref="C30:D30"/>
    <mergeCell ref="E30:F30"/>
    <mergeCell ref="G30:H30"/>
    <mergeCell ref="I30:J30"/>
    <mergeCell ref="K30:L30"/>
    <mergeCell ref="M30:N30"/>
    <mergeCell ref="M28:N28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1"/>
  <sheetViews>
    <sheetView zoomScale="90" zoomScaleNormal="90" workbookViewId="0">
      <selection activeCell="E9" sqref="E9:F9"/>
    </sheetView>
  </sheetViews>
  <sheetFormatPr defaultRowHeight="12.75" x14ac:dyDescent="0.2"/>
  <cols>
    <col min="1" max="1" width="6.7109375" customWidth="1"/>
    <col min="2" max="2" width="34.7109375" customWidth="1"/>
    <col min="3" max="15" width="6.7109375" customWidth="1"/>
    <col min="16" max="17" width="8" customWidth="1"/>
  </cols>
  <sheetData>
    <row r="1" spans="1:18" ht="16.149999999999999" customHeight="1" x14ac:dyDescent="0.2">
      <c r="A1" s="298" t="s">
        <v>101</v>
      </c>
      <c r="B1" s="30"/>
      <c r="C1" s="30"/>
      <c r="D1" s="80"/>
      <c r="E1" s="8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6.149999999999999" customHeight="1" x14ac:dyDescent="0.3">
      <c r="A2" s="298"/>
      <c r="B2" s="77" t="s">
        <v>37</v>
      </c>
      <c r="C2" s="302" t="s">
        <v>100</v>
      </c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"/>
      <c r="P2" s="30"/>
      <c r="Q2" s="30"/>
      <c r="R2" s="30"/>
    </row>
    <row r="3" spans="1:18" ht="16.149999999999999" customHeight="1" x14ac:dyDescent="0.2">
      <c r="A3" s="298"/>
      <c r="B3" s="30"/>
      <c r="C3" s="36" t="s">
        <v>38</v>
      </c>
      <c r="D3" s="36" t="s">
        <v>39</v>
      </c>
      <c r="E3" s="36" t="s">
        <v>40</v>
      </c>
      <c r="F3" s="36" t="s">
        <v>41</v>
      </c>
      <c r="G3" s="36" t="s">
        <v>42</v>
      </c>
      <c r="H3" s="36" t="s">
        <v>43</v>
      </c>
      <c r="I3" s="36" t="s">
        <v>44</v>
      </c>
      <c r="J3" s="36" t="s">
        <v>45</v>
      </c>
      <c r="K3" s="36" t="s">
        <v>46</v>
      </c>
      <c r="L3" s="36" t="s">
        <v>47</v>
      </c>
      <c r="M3" s="36" t="s">
        <v>48</v>
      </c>
      <c r="N3" s="36" t="s">
        <v>49</v>
      </c>
      <c r="O3" s="80" t="s">
        <v>50</v>
      </c>
      <c r="P3" s="80" t="s">
        <v>51</v>
      </c>
      <c r="Q3" s="30"/>
      <c r="R3" s="30"/>
    </row>
    <row r="4" spans="1:18" ht="16.149999999999999" customHeight="1" x14ac:dyDescent="0.2">
      <c r="A4" s="298"/>
      <c r="B4" s="30" t="s">
        <v>52</v>
      </c>
      <c r="C4" s="38">
        <v>1.86</v>
      </c>
      <c r="D4" s="38">
        <v>2.2400000000000002</v>
      </c>
      <c r="E4" s="39">
        <v>3.41</v>
      </c>
      <c r="F4" s="39">
        <v>4.5</v>
      </c>
      <c r="G4" s="39">
        <v>5.27</v>
      </c>
      <c r="H4" s="39">
        <v>5.7</v>
      </c>
      <c r="I4" s="39">
        <v>5.89</v>
      </c>
      <c r="J4" s="39">
        <v>5.58</v>
      </c>
      <c r="K4" s="39">
        <v>4.5</v>
      </c>
      <c r="L4" s="39">
        <v>3.41</v>
      </c>
      <c r="M4" s="39">
        <v>2.4</v>
      </c>
      <c r="N4" s="38">
        <v>1.86</v>
      </c>
      <c r="O4" s="81">
        <f>SUM(C4:N4)</f>
        <v>46.62</v>
      </c>
      <c r="P4" s="82">
        <f>O4-O6</f>
        <v>40.619999999999997</v>
      </c>
      <c r="Q4" s="30"/>
      <c r="R4" s="30"/>
    </row>
    <row r="5" spans="1:18" ht="16.149999999999999" customHeight="1" x14ac:dyDescent="0.2">
      <c r="A5" s="298"/>
      <c r="B5" s="78" t="s">
        <v>53</v>
      </c>
      <c r="C5" s="53">
        <v>4.3</v>
      </c>
      <c r="D5" s="41">
        <v>4.2</v>
      </c>
      <c r="E5" s="41">
        <v>4.0999999999999996</v>
      </c>
      <c r="F5" s="41">
        <v>1.5</v>
      </c>
      <c r="G5" s="41">
        <v>0.5</v>
      </c>
      <c r="H5" s="41">
        <v>0.3</v>
      </c>
      <c r="I5" s="41">
        <v>0</v>
      </c>
      <c r="J5" s="41">
        <v>0</v>
      </c>
      <c r="K5" s="41">
        <v>0</v>
      </c>
      <c r="L5" s="41">
        <v>1.6</v>
      </c>
      <c r="M5" s="41">
        <v>2.1</v>
      </c>
      <c r="N5" s="53">
        <v>5.4</v>
      </c>
      <c r="O5" s="30"/>
      <c r="P5" s="30"/>
      <c r="Q5" s="30"/>
      <c r="R5" s="30"/>
    </row>
    <row r="6" spans="1:18" ht="16.149999999999999" customHeight="1" x14ac:dyDescent="0.2">
      <c r="A6" s="298"/>
      <c r="B6" s="79" t="s">
        <v>117</v>
      </c>
      <c r="C6" s="54">
        <f>C5*0.25</f>
        <v>1.075</v>
      </c>
      <c r="D6" s="55">
        <f t="shared" ref="D6:N6" si="0">D5*0.25</f>
        <v>1.05</v>
      </c>
      <c r="E6" s="55">
        <f t="shared" si="0"/>
        <v>1.0249999999999999</v>
      </c>
      <c r="F6" s="55">
        <f t="shared" si="0"/>
        <v>0.375</v>
      </c>
      <c r="G6" s="55">
        <f t="shared" si="0"/>
        <v>0.125</v>
      </c>
      <c r="H6" s="55">
        <f t="shared" si="0"/>
        <v>7.4999999999999997E-2</v>
      </c>
      <c r="I6" s="55">
        <f t="shared" si="0"/>
        <v>0</v>
      </c>
      <c r="J6" s="55">
        <f t="shared" si="0"/>
        <v>0</v>
      </c>
      <c r="K6" s="55">
        <f t="shared" si="0"/>
        <v>0</v>
      </c>
      <c r="L6" s="55">
        <f t="shared" si="0"/>
        <v>0.4</v>
      </c>
      <c r="M6" s="55">
        <f t="shared" si="0"/>
        <v>0.52500000000000002</v>
      </c>
      <c r="N6" s="54">
        <f t="shared" si="0"/>
        <v>1.35</v>
      </c>
      <c r="O6" s="83">
        <f>SUM(C6:N6)</f>
        <v>6</v>
      </c>
      <c r="P6" s="30"/>
      <c r="Q6" s="30"/>
      <c r="R6" s="30"/>
    </row>
    <row r="7" spans="1:18" ht="16.149999999999999" customHeight="1" x14ac:dyDescent="0.2">
      <c r="A7" s="298"/>
      <c r="B7" s="76" t="s">
        <v>103</v>
      </c>
      <c r="C7" s="75">
        <f>(C4-C6)/P4</f>
        <v>1.9325455440669624E-2</v>
      </c>
      <c r="D7" s="44">
        <f>(D4-D6)/P4</f>
        <v>2.9295913343180706E-2</v>
      </c>
      <c r="E7" s="75">
        <f>(E4-E6)/P4</f>
        <v>5.8714918759231918E-2</v>
      </c>
      <c r="F7" s="45">
        <f>(F4-F6)/P4</f>
        <v>0.1015509601181684</v>
      </c>
      <c r="G7" s="75">
        <f>(G4-G6)/P4</f>
        <v>0.12666174298375185</v>
      </c>
      <c r="H7" s="46">
        <f>(H4-H6)/P4</f>
        <v>0.13847858197932053</v>
      </c>
      <c r="I7" s="75">
        <f>(I4-I6)/P4</f>
        <v>0.1450024618414574</v>
      </c>
      <c r="J7" s="47">
        <f>(J4-J6)/P4</f>
        <v>0.13737075332348597</v>
      </c>
      <c r="K7" s="75">
        <f>(K4-K6)/P4</f>
        <v>0.11078286558345643</v>
      </c>
      <c r="L7" s="48">
        <f>(L4-L6)/P4</f>
        <v>7.4101427868045314E-2</v>
      </c>
      <c r="M7" s="52">
        <f>(M4-M6)/P4</f>
        <v>4.6159527326440179E-2</v>
      </c>
      <c r="N7" s="49">
        <f>(N4-N6)/P4</f>
        <v>1.2555391432791729E-2</v>
      </c>
      <c r="O7" s="78"/>
      <c r="P7" s="78"/>
      <c r="Q7" s="78"/>
      <c r="R7" s="30"/>
    </row>
    <row r="8" spans="1:18" ht="16.149999999999999" customHeight="1" x14ac:dyDescent="0.2">
      <c r="A8" s="298"/>
      <c r="B8" s="30"/>
      <c r="C8" s="87"/>
      <c r="D8" s="87"/>
      <c r="E8" s="87"/>
      <c r="F8" s="87"/>
      <c r="G8" s="87"/>
      <c r="H8" s="87"/>
      <c r="I8" s="87"/>
      <c r="J8" s="87"/>
      <c r="K8" s="87"/>
      <c r="L8" s="87"/>
      <c r="M8" s="86"/>
      <c r="N8" s="86"/>
      <c r="O8" s="78"/>
      <c r="P8" s="78"/>
      <c r="Q8" s="78"/>
      <c r="R8" s="30"/>
    </row>
    <row r="9" spans="1:18" ht="16.149999999999999" customHeight="1" x14ac:dyDescent="0.2">
      <c r="A9" s="298"/>
      <c r="B9" s="30" t="s">
        <v>54</v>
      </c>
      <c r="C9" s="286" t="s">
        <v>55</v>
      </c>
      <c r="D9" s="286"/>
      <c r="E9" s="287" t="s">
        <v>56</v>
      </c>
      <c r="F9" s="287"/>
      <c r="G9" s="288" t="s">
        <v>57</v>
      </c>
      <c r="H9" s="288"/>
      <c r="I9" s="289" t="s">
        <v>58</v>
      </c>
      <c r="J9" s="289"/>
      <c r="K9" s="290" t="s">
        <v>59</v>
      </c>
      <c r="L9" s="290"/>
      <c r="M9" s="291" t="s">
        <v>60</v>
      </c>
      <c r="N9" s="291"/>
      <c r="O9" s="78"/>
      <c r="P9" s="78"/>
      <c r="Q9" s="18"/>
      <c r="R9" s="30"/>
    </row>
    <row r="10" spans="1:18" ht="16.149999999999999" customHeight="1" thickBot="1" x14ac:dyDescent="0.25">
      <c r="A10" s="298"/>
      <c r="B10" s="30"/>
      <c r="C10" s="292">
        <f>N7+M7*0.5+C7*0.5</f>
        <v>4.5297882816346627E-2</v>
      </c>
      <c r="D10" s="292"/>
      <c r="E10" s="293">
        <f>D7+C7*0.5+E7*0.5</f>
        <v>6.8316100443131467E-2</v>
      </c>
      <c r="F10" s="293"/>
      <c r="G10" s="294">
        <f>F7+E7*0.5+G7*0.5</f>
        <v>0.19423929098966031</v>
      </c>
      <c r="H10" s="294"/>
      <c r="I10" s="295">
        <f>H7+G7*0.5+I7*0.5</f>
        <v>0.27431068439192513</v>
      </c>
      <c r="J10" s="295"/>
      <c r="K10" s="296">
        <f>J7+I7*0.5+K7*0.5</f>
        <v>0.26526341703594286</v>
      </c>
      <c r="L10" s="296"/>
      <c r="M10" s="285">
        <f>L7+K7*0.5+M7*0.5</f>
        <v>0.15257262432299362</v>
      </c>
      <c r="N10" s="285"/>
      <c r="O10" s="78"/>
      <c r="P10" s="84" t="s">
        <v>61</v>
      </c>
      <c r="Q10" s="84" t="s">
        <v>62</v>
      </c>
      <c r="R10" s="30"/>
    </row>
    <row r="11" spans="1:18" ht="16.149999999999999" customHeight="1" x14ac:dyDescent="0.2">
      <c r="A11" s="298"/>
      <c r="B11" s="282" t="s">
        <v>114</v>
      </c>
      <c r="C11" s="278">
        <f>ROUNDDOWN(B13*C10,0)</f>
        <v>0</v>
      </c>
      <c r="D11" s="278"/>
      <c r="E11" s="278">
        <f>ROUNDDOWN(B13*E10,0)</f>
        <v>0</v>
      </c>
      <c r="F11" s="278"/>
      <c r="G11" s="278">
        <f>ROUNDDOWN(B13*G10,0)</f>
        <v>0</v>
      </c>
      <c r="H11" s="278"/>
      <c r="I11" s="278">
        <f>ROUNDDOWN(B13*I10,0)</f>
        <v>0</v>
      </c>
      <c r="J11" s="278"/>
      <c r="K11" s="278">
        <f>ROUNDDOWN(B13*K10,0)</f>
        <v>0</v>
      </c>
      <c r="L11" s="278"/>
      <c r="M11" s="278">
        <f>ROUNDDOWN(B13*M10,0)</f>
        <v>0</v>
      </c>
      <c r="N11" s="279"/>
      <c r="O11" s="78"/>
      <c r="P11" s="102">
        <f>SUM(C11:N11)</f>
        <v>0</v>
      </c>
      <c r="Q11" s="103">
        <f>B13-P11</f>
        <v>0</v>
      </c>
      <c r="R11" s="30"/>
    </row>
    <row r="12" spans="1:18" ht="16.149999999999999" customHeight="1" x14ac:dyDescent="0.2">
      <c r="A12" s="298"/>
      <c r="B12" s="283"/>
      <c r="C12" s="300"/>
      <c r="D12" s="301"/>
      <c r="E12" s="280">
        <f>IF(Q11=0,0,IF(Q11=1,0,IF(Q11=2,0,IF(Q11=3,0,IF(Q11=4,0,IF(Q11=5,1))))))</f>
        <v>0</v>
      </c>
      <c r="F12" s="280"/>
      <c r="G12" s="280">
        <f>IF(Q11=0,0,IF(Q11=1,0,IF(Q11=2,0,IF(Q11=3,1,IF(Q11=4,1,IF(Q11=5,1))))))</f>
        <v>0</v>
      </c>
      <c r="H12" s="280"/>
      <c r="I12" s="280">
        <f>IF(Q11=0,0,IF(Q11=1,1,IF(Q11=2,1,IF(Q11=3,1,IF(Q11=4,1,IF(Q11=5,1))))))</f>
        <v>0</v>
      </c>
      <c r="J12" s="280"/>
      <c r="K12" s="280">
        <f>IF(Q11=0,0,IF(Q11=1,0,IF(Q11=2,1,IF(Q11=3,1,IF(Q11=4,1,IF(Q11=5,1))))))</f>
        <v>0</v>
      </c>
      <c r="L12" s="280"/>
      <c r="M12" s="280">
        <f>IF(Q11=0,0,IF(Q11=1,0,IF(Q11=2,0,IF(Q11=3,0,IF(Q11=4,1,IF(Q11=5,1))))))</f>
        <v>0</v>
      </c>
      <c r="N12" s="281"/>
      <c r="O12" s="78"/>
      <c r="P12" s="104"/>
      <c r="Q12" s="105"/>
      <c r="R12" s="30"/>
    </row>
    <row r="13" spans="1:18" ht="16.149999999999999" customHeight="1" thickBot="1" x14ac:dyDescent="0.35">
      <c r="A13" s="298"/>
      <c r="B13" s="101">
        <f>MAWA.ETWU!G37</f>
        <v>0</v>
      </c>
      <c r="C13" s="276">
        <f>C11</f>
        <v>0</v>
      </c>
      <c r="D13" s="276"/>
      <c r="E13" s="276">
        <f>E11</f>
        <v>0</v>
      </c>
      <c r="F13" s="276"/>
      <c r="G13" s="276">
        <f>SUM(G11:H12)</f>
        <v>0</v>
      </c>
      <c r="H13" s="276"/>
      <c r="I13" s="276">
        <f>SUM(I11:J12)</f>
        <v>0</v>
      </c>
      <c r="J13" s="276"/>
      <c r="K13" s="297">
        <f>SUM(K11:L12)</f>
        <v>0</v>
      </c>
      <c r="L13" s="297"/>
      <c r="M13" s="276">
        <f>SUM(M11:N12)</f>
        <v>0</v>
      </c>
      <c r="N13" s="277"/>
      <c r="O13" s="78"/>
      <c r="P13" s="106">
        <f>SUM(C13:N13)</f>
        <v>0</v>
      </c>
      <c r="Q13" s="107">
        <f>B13-P13</f>
        <v>0</v>
      </c>
      <c r="R13" s="30"/>
    </row>
    <row r="14" spans="1:18" ht="16.149999999999999" customHeight="1" x14ac:dyDescent="0.2">
      <c r="A14" s="298"/>
      <c r="B14" s="271" t="s">
        <v>115</v>
      </c>
      <c r="C14" s="109">
        <f>C7*0.5+N7*0.5</f>
        <v>1.5940423436730675E-2</v>
      </c>
      <c r="D14" s="109">
        <f>D7*0.5+C7*0.5</f>
        <v>2.4310684391925165E-2</v>
      </c>
      <c r="E14" s="109">
        <f>E7*0.5+D7*0.5</f>
        <v>4.4005416051206309E-2</v>
      </c>
      <c r="F14" s="109">
        <f>F7*0.5+E7*0.5</f>
        <v>8.013293943870016E-2</v>
      </c>
      <c r="G14" s="109">
        <f t="shared" ref="G14:N14" si="1">G7*0.5+F7*0.5</f>
        <v>0.11410635155096013</v>
      </c>
      <c r="H14" s="109">
        <f t="shared" si="1"/>
        <v>0.13257016248153619</v>
      </c>
      <c r="I14" s="109">
        <f t="shared" si="1"/>
        <v>0.14174052191038897</v>
      </c>
      <c r="J14" s="109">
        <f t="shared" si="1"/>
        <v>0.1411866075824717</v>
      </c>
      <c r="K14" s="109">
        <f t="shared" si="1"/>
        <v>0.1240768094534712</v>
      </c>
      <c r="L14" s="109">
        <f t="shared" si="1"/>
        <v>9.2442146725750879E-2</v>
      </c>
      <c r="M14" s="109">
        <f t="shared" si="1"/>
        <v>6.0130477597242743E-2</v>
      </c>
      <c r="N14" s="110">
        <f t="shared" si="1"/>
        <v>2.9357459379615952E-2</v>
      </c>
      <c r="O14" s="78"/>
      <c r="P14" s="115"/>
      <c r="Q14" s="116"/>
      <c r="R14" s="30"/>
    </row>
    <row r="15" spans="1:18" ht="16.149999999999999" customHeight="1" x14ac:dyDescent="0.2">
      <c r="A15" s="298"/>
      <c r="B15" s="272"/>
      <c r="C15" s="111">
        <f>ROUNDDOWN(B17*C14,0)</f>
        <v>0</v>
      </c>
      <c r="D15" s="111">
        <f>ROUNDDOWN(B17*D14,0)</f>
        <v>0</v>
      </c>
      <c r="E15" s="111">
        <f>ROUNDDOWN(B17*E14,0)</f>
        <v>0</v>
      </c>
      <c r="F15" s="111">
        <f>ROUNDDOWN(B17*F14,0)</f>
        <v>0</v>
      </c>
      <c r="G15" s="111">
        <f>ROUNDDOWN(B17*G14,0)</f>
        <v>0</v>
      </c>
      <c r="H15" s="111">
        <f>ROUNDDOWN(B17*H14,0)</f>
        <v>0</v>
      </c>
      <c r="I15" s="111">
        <f>ROUNDDOWN(B17*I14,0)</f>
        <v>0</v>
      </c>
      <c r="J15" s="111">
        <f>ROUNDDOWN(B17*J14,0)</f>
        <v>0</v>
      </c>
      <c r="K15" s="111">
        <f>ROUNDDOWN(B17*K14,0)</f>
        <v>0</v>
      </c>
      <c r="L15" s="111">
        <f>ROUNDDOWN(B17*L14,0)</f>
        <v>0</v>
      </c>
      <c r="M15" s="111">
        <f>ROUNDDOWN(B17*M14,0)</f>
        <v>0</v>
      </c>
      <c r="N15" s="112">
        <f>ROUNDDOWN(B17*N14,0)</f>
        <v>0</v>
      </c>
      <c r="O15" s="78"/>
      <c r="P15" s="117">
        <f>SUM(C15:O15)</f>
        <v>0</v>
      </c>
      <c r="Q15" s="118">
        <f>B17-P15</f>
        <v>0</v>
      </c>
      <c r="R15" s="30"/>
    </row>
    <row r="16" spans="1:18" ht="16.149999999999999" customHeight="1" x14ac:dyDescent="0.2">
      <c r="A16" s="298"/>
      <c r="B16" s="273"/>
      <c r="C16" s="122"/>
      <c r="D16" s="122"/>
      <c r="E16" s="111">
        <f>IF(Q15=0,0,IF(Q15=1,0,IF(Q15=2,0,IF(Q15=3,0,IF(Q15=4,0,IF(Q15=5,0,IF(Q15=6,0,IF(Q15=7,0,IF(Q15=8,0,IF(Q15=9,1))))))))))</f>
        <v>0</v>
      </c>
      <c r="F16" s="111">
        <f>IF(Q15=0,0,IF(Q15=1,0,IF(Q15=2,0,IF(Q15=3,0,IF(Q15=4,0,IF(Q15=5,0,IF(Q15=6,0,IF(Q15=7,1,IF(Q15=8,1,IF(Q15=9,1))))))))))</f>
        <v>0</v>
      </c>
      <c r="G16" s="111">
        <f>IF(Q15=0,0,IF(Q15=1,0,IF(Q15=2,0,IF(Q15=3,0,IF(Q15=4,0,IF(Q15=5,1,IF(Q15=6,1,IF(Q15=7,1,IF(Q15=8,1,IF(Q15=9,1))))))))))</f>
        <v>0</v>
      </c>
      <c r="H16" s="111">
        <f>IF(Q15=0,0,IF(Q15=1,0,IF(Q15=2,0,IF(Q15=3,1,IF(Q15=4,1,IF(Q15=5,1,IF(Q15=6,1,IF(Q15=7,1,IF(Q15=8,1,IF(Q15=9,1))))))))))</f>
        <v>0</v>
      </c>
      <c r="I16" s="111">
        <f>IF(Q15=0,0,IF(Q15=1,1,IF(Q15=2,1,IF(Q15=3,1,IF(Q15=4,1,IF(Q15=5,1,IF(Q15=6,1,IF(Q15=7,1,IF(Q15=8,1,IF(Q15=9,1))))))))))</f>
        <v>0</v>
      </c>
      <c r="J16" s="111">
        <f>IF(Q15=0,0,IF(Q15=1,0,IF(Q15=2,1,IF(Q15=3,1,IF(Q15=4,1,IF(Q15=5,1,IF(Q15=6,1,IF(Q15=7,1,IF(Q15=8,1,IF(Q15=9,1))))))))))</f>
        <v>0</v>
      </c>
      <c r="K16" s="111">
        <f>IF(Q15=0,0,IF(Q15=1,0,IF(Q15=2,0,IF(Q15=3,0,IF(Q15=4,1,IF(Q15=5,1,IF(Q15=6,1,IF(Q15=7,1,IF(Q15=8,1,IF(Q15=9,1))))))))))</f>
        <v>0</v>
      </c>
      <c r="L16" s="111">
        <f>IF(Q15=0,0,IF(Q15=1,0,IF(Q15=2,0,IF(Q15=3,0,IF(Q15=4,0,IF(Q15=5,0,IF(Q15=6,1,IF(Q15=7,1,IF(Q15=8,1,IF(Q15=9,1))))))))))</f>
        <v>0</v>
      </c>
      <c r="M16" s="111">
        <f>IF(Q15=0,0,IF(Q15=1,0,IF(Q15=2,0,IF(Q15=3,0,IF(Q15=4,0,IF(Q15=5,0,IF(Q15=6,0,IF(Q15=7,0,IF(Q15=8,1,IF(Q15=9,1))))))))))</f>
        <v>0</v>
      </c>
      <c r="N16" s="123"/>
      <c r="O16" s="78"/>
      <c r="P16" s="117"/>
      <c r="Q16" s="118"/>
      <c r="R16" s="30"/>
    </row>
    <row r="17" spans="1:18" ht="16.149999999999999" customHeight="1" thickBot="1" x14ac:dyDescent="0.3">
      <c r="A17" s="298"/>
      <c r="B17" s="113">
        <f>'MAWA.ETWU Monthly'!G37</f>
        <v>0</v>
      </c>
      <c r="C17" s="114">
        <f>SUM(C15:C16)</f>
        <v>0</v>
      </c>
      <c r="D17" s="114">
        <f t="shared" ref="D17:N17" si="2">SUM(D15:D16)</f>
        <v>0</v>
      </c>
      <c r="E17" s="114">
        <f t="shared" si="2"/>
        <v>0</v>
      </c>
      <c r="F17" s="114">
        <f t="shared" si="2"/>
        <v>0</v>
      </c>
      <c r="G17" s="114">
        <f t="shared" si="2"/>
        <v>0</v>
      </c>
      <c r="H17" s="114">
        <f t="shared" si="2"/>
        <v>0</v>
      </c>
      <c r="I17" s="114">
        <f t="shared" si="2"/>
        <v>0</v>
      </c>
      <c r="J17" s="114">
        <f t="shared" si="2"/>
        <v>0</v>
      </c>
      <c r="K17" s="114">
        <f t="shared" si="2"/>
        <v>0</v>
      </c>
      <c r="L17" s="114">
        <f t="shared" si="2"/>
        <v>0</v>
      </c>
      <c r="M17" s="114">
        <f t="shared" si="2"/>
        <v>0</v>
      </c>
      <c r="N17" s="114">
        <f t="shared" si="2"/>
        <v>0</v>
      </c>
      <c r="O17" s="78"/>
      <c r="P17" s="121">
        <f>SUM(C17:N17)</f>
        <v>0</v>
      </c>
      <c r="Q17" s="120">
        <f>B17-P17</f>
        <v>0</v>
      </c>
      <c r="R17" s="30"/>
    </row>
    <row r="18" spans="1:18" ht="16.149999999999999" customHeight="1" x14ac:dyDescent="0.2">
      <c r="A18" s="298"/>
      <c r="B18" s="30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78"/>
      <c r="P18" s="84"/>
      <c r="Q18" s="84"/>
      <c r="R18" s="30"/>
    </row>
    <row r="19" spans="1:18" ht="16.149999999999999" customHeight="1" x14ac:dyDescent="0.3">
      <c r="A19" s="298"/>
      <c r="B19" s="77" t="s">
        <v>63</v>
      </c>
      <c r="C19" s="299" t="s">
        <v>99</v>
      </c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78"/>
      <c r="P19" s="84"/>
      <c r="Q19" s="84"/>
      <c r="R19" s="30"/>
    </row>
    <row r="20" spans="1:18" ht="16.149999999999999" customHeight="1" x14ac:dyDescent="0.2">
      <c r="A20" s="298"/>
      <c r="B20" s="30"/>
      <c r="C20" s="36" t="s">
        <v>38</v>
      </c>
      <c r="D20" s="36" t="s">
        <v>39</v>
      </c>
      <c r="E20" s="36" t="s">
        <v>40</v>
      </c>
      <c r="F20" s="36" t="s">
        <v>41</v>
      </c>
      <c r="G20" s="36" t="s">
        <v>42</v>
      </c>
      <c r="H20" s="36" t="s">
        <v>43</v>
      </c>
      <c r="I20" s="36" t="s">
        <v>44</v>
      </c>
      <c r="J20" s="36" t="s">
        <v>45</v>
      </c>
      <c r="K20" s="36" t="s">
        <v>46</v>
      </c>
      <c r="L20" s="36" t="s">
        <v>47</v>
      </c>
      <c r="M20" s="36" t="s">
        <v>48</v>
      </c>
      <c r="N20" s="36" t="s">
        <v>49</v>
      </c>
      <c r="O20" s="80" t="s">
        <v>50</v>
      </c>
      <c r="P20" s="80" t="s">
        <v>51</v>
      </c>
      <c r="Q20" s="84"/>
      <c r="R20" s="30"/>
    </row>
    <row r="21" spans="1:18" ht="16.149999999999999" customHeight="1" x14ac:dyDescent="0.2">
      <c r="A21" s="298"/>
      <c r="B21" s="30" t="s">
        <v>52</v>
      </c>
      <c r="C21" s="38">
        <v>1.86</v>
      </c>
      <c r="D21" s="38">
        <v>2.2400000000000002</v>
      </c>
      <c r="E21" s="39">
        <v>3.41</v>
      </c>
      <c r="F21" s="39">
        <v>4.5</v>
      </c>
      <c r="G21" s="39">
        <v>5.27</v>
      </c>
      <c r="H21" s="39">
        <v>5.7</v>
      </c>
      <c r="I21" s="39">
        <v>5.89</v>
      </c>
      <c r="J21" s="39">
        <v>5.58</v>
      </c>
      <c r="K21" s="39">
        <v>4.5</v>
      </c>
      <c r="L21" s="39">
        <v>3.41</v>
      </c>
      <c r="M21" s="39">
        <v>2.4</v>
      </c>
      <c r="N21" s="38">
        <v>1.86</v>
      </c>
      <c r="O21" s="81">
        <f>SUM(C21:N21)</f>
        <v>46.62</v>
      </c>
      <c r="P21" s="82">
        <f>O21-O23</f>
        <v>40.619999999999997</v>
      </c>
      <c r="Q21" s="84"/>
      <c r="R21" s="30"/>
    </row>
    <row r="22" spans="1:18" ht="16.149999999999999" customHeight="1" x14ac:dyDescent="0.2">
      <c r="A22" s="298"/>
      <c r="B22" s="78" t="s">
        <v>53</v>
      </c>
      <c r="C22" s="53">
        <v>4.3</v>
      </c>
      <c r="D22" s="41">
        <v>4.2</v>
      </c>
      <c r="E22" s="41">
        <v>4.0999999999999996</v>
      </c>
      <c r="F22" s="41">
        <v>1.5</v>
      </c>
      <c r="G22" s="41">
        <v>0.5</v>
      </c>
      <c r="H22" s="41">
        <v>0.3</v>
      </c>
      <c r="I22" s="41">
        <v>0</v>
      </c>
      <c r="J22" s="41">
        <v>0</v>
      </c>
      <c r="K22" s="41">
        <v>0</v>
      </c>
      <c r="L22" s="41">
        <v>1.6</v>
      </c>
      <c r="M22" s="41">
        <v>2.1</v>
      </c>
      <c r="N22" s="53">
        <v>5.4</v>
      </c>
      <c r="O22" s="30"/>
      <c r="P22" s="30"/>
      <c r="Q22" s="84"/>
      <c r="R22" s="30"/>
    </row>
    <row r="23" spans="1:18" ht="16.149999999999999" customHeight="1" x14ac:dyDescent="0.2">
      <c r="A23" s="298"/>
      <c r="B23" s="79" t="s">
        <v>117</v>
      </c>
      <c r="C23" s="56">
        <f>C22*0.25</f>
        <v>1.075</v>
      </c>
      <c r="D23" s="43">
        <f t="shared" ref="D23:N23" si="3">D22*0.25</f>
        <v>1.05</v>
      </c>
      <c r="E23" s="43">
        <f t="shared" si="3"/>
        <v>1.0249999999999999</v>
      </c>
      <c r="F23" s="43">
        <f t="shared" si="3"/>
        <v>0.375</v>
      </c>
      <c r="G23" s="43">
        <f t="shared" si="3"/>
        <v>0.125</v>
      </c>
      <c r="H23" s="43">
        <f t="shared" si="3"/>
        <v>7.4999999999999997E-2</v>
      </c>
      <c r="I23" s="43">
        <f t="shared" si="3"/>
        <v>0</v>
      </c>
      <c r="J23" s="43">
        <f t="shared" si="3"/>
        <v>0</v>
      </c>
      <c r="K23" s="43">
        <f t="shared" si="3"/>
        <v>0</v>
      </c>
      <c r="L23" s="43">
        <f t="shared" si="3"/>
        <v>0.4</v>
      </c>
      <c r="M23" s="43">
        <f t="shared" si="3"/>
        <v>0.52500000000000002</v>
      </c>
      <c r="N23" s="56">
        <f t="shared" si="3"/>
        <v>1.35</v>
      </c>
      <c r="O23" s="83">
        <f>SUM(C23:N23)</f>
        <v>6</v>
      </c>
      <c r="P23" s="30"/>
      <c r="Q23" s="84"/>
      <c r="R23" s="30"/>
    </row>
    <row r="24" spans="1:18" ht="16.149999999999999" customHeight="1" x14ac:dyDescent="0.2">
      <c r="A24" s="298"/>
      <c r="B24" s="76" t="s">
        <v>103</v>
      </c>
      <c r="C24" s="50">
        <f>(C21-C23)/P21</f>
        <v>1.9325455440669624E-2</v>
      </c>
      <c r="D24" s="75">
        <f>(D21-D23)/P21</f>
        <v>2.9295913343180706E-2</v>
      </c>
      <c r="E24" s="44">
        <f>(E21-E23)/P21</f>
        <v>5.8714918759231918E-2</v>
      </c>
      <c r="F24" s="75">
        <f>(F21-F23)/P21</f>
        <v>0.1015509601181684</v>
      </c>
      <c r="G24" s="45">
        <f>(G21-G23)/P21</f>
        <v>0.12666174298375185</v>
      </c>
      <c r="H24" s="75">
        <f>(H21-H23)/P21</f>
        <v>0.13847858197932053</v>
      </c>
      <c r="I24" s="46">
        <f>(I21-I23)/P21</f>
        <v>0.1450024618414574</v>
      </c>
      <c r="J24" s="75">
        <f>(J21-J23)/P21</f>
        <v>0.13737075332348597</v>
      </c>
      <c r="K24" s="47">
        <f>(K21-K23)/P21</f>
        <v>0.11078286558345643</v>
      </c>
      <c r="L24" s="75">
        <f>(L21-L23)/P21</f>
        <v>7.4101427868045314E-2</v>
      </c>
      <c r="M24" s="51">
        <f>(M21-M23)/P21</f>
        <v>4.6159527326440179E-2</v>
      </c>
      <c r="N24" s="52">
        <f>(N21-N23)/P21</f>
        <v>1.2555391432791729E-2</v>
      </c>
      <c r="O24" s="78"/>
      <c r="P24" s="78"/>
      <c r="Q24" s="84"/>
      <c r="R24" s="30"/>
    </row>
    <row r="25" spans="1:18" ht="16.149999999999999" customHeight="1" x14ac:dyDescent="0.2">
      <c r="A25" s="298"/>
      <c r="B25" s="30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30"/>
      <c r="P25" s="84"/>
      <c r="Q25" s="84"/>
      <c r="R25" s="30"/>
    </row>
    <row r="26" spans="1:18" ht="16.149999999999999" customHeight="1" x14ac:dyDescent="0.2">
      <c r="A26" s="298"/>
      <c r="B26" s="30" t="s">
        <v>54</v>
      </c>
      <c r="C26" s="286" t="s">
        <v>64</v>
      </c>
      <c r="D26" s="286"/>
      <c r="E26" s="287" t="s">
        <v>65</v>
      </c>
      <c r="F26" s="287"/>
      <c r="G26" s="288" t="s">
        <v>66</v>
      </c>
      <c r="H26" s="288"/>
      <c r="I26" s="289" t="s">
        <v>67</v>
      </c>
      <c r="J26" s="289"/>
      <c r="K26" s="290" t="s">
        <v>68</v>
      </c>
      <c r="L26" s="290"/>
      <c r="M26" s="291" t="s">
        <v>69</v>
      </c>
      <c r="N26" s="291"/>
      <c r="O26" s="30"/>
      <c r="P26" s="84"/>
      <c r="Q26" s="84"/>
      <c r="R26" s="30"/>
    </row>
    <row r="27" spans="1:18" ht="16.149999999999999" customHeight="1" thickBot="1" x14ac:dyDescent="0.25">
      <c r="A27" s="298"/>
      <c r="B27" s="30"/>
      <c r="C27" s="292">
        <f>C24+N24*0.5+D24*0.5</f>
        <v>4.0251107828655847E-2</v>
      </c>
      <c r="D27" s="292"/>
      <c r="E27" s="293">
        <f>E24+D24*0.5+F24*0.5</f>
        <v>0.12413835548990648</v>
      </c>
      <c r="F27" s="293"/>
      <c r="G27" s="294">
        <f>G24+F24*0.5+H24*0.5</f>
        <v>0.2466765140324963</v>
      </c>
      <c r="H27" s="294"/>
      <c r="I27" s="295">
        <f>I24+H24*0.5+J24*0.5</f>
        <v>0.2829271294928607</v>
      </c>
      <c r="J27" s="295"/>
      <c r="K27" s="296">
        <f>K24+J24*0.5+L24*0.5</f>
        <v>0.21651895617922207</v>
      </c>
      <c r="L27" s="296"/>
      <c r="M27" s="285">
        <f>M24+L24*0.5+N24*0.5</f>
        <v>8.9487936976858695E-2</v>
      </c>
      <c r="N27" s="285"/>
      <c r="O27" s="30"/>
      <c r="P27" s="84" t="s">
        <v>61</v>
      </c>
      <c r="Q27" s="84" t="s">
        <v>62</v>
      </c>
      <c r="R27" s="30"/>
    </row>
    <row r="28" spans="1:18" ht="16.149999999999999" customHeight="1" x14ac:dyDescent="0.2">
      <c r="A28" s="298"/>
      <c r="B28" s="282" t="s">
        <v>114</v>
      </c>
      <c r="C28" s="278">
        <f>ROUNDDOWN(B30*C27,0)</f>
        <v>0</v>
      </c>
      <c r="D28" s="278"/>
      <c r="E28" s="278">
        <f>ROUNDDOWN(B30*E27,0)</f>
        <v>0</v>
      </c>
      <c r="F28" s="278"/>
      <c r="G28" s="278">
        <f>ROUNDDOWN(B30*G27,0)</f>
        <v>0</v>
      </c>
      <c r="H28" s="278"/>
      <c r="I28" s="278">
        <f>ROUNDDOWN(B30*I27,0)</f>
        <v>0</v>
      </c>
      <c r="J28" s="278"/>
      <c r="K28" s="278">
        <f>ROUNDDOWN(B30*K27,0)</f>
        <v>0</v>
      </c>
      <c r="L28" s="278"/>
      <c r="M28" s="278">
        <f>ROUNDDOWN(B30*M27,0)</f>
        <v>0</v>
      </c>
      <c r="N28" s="279"/>
      <c r="O28" s="78"/>
      <c r="P28" s="102">
        <f>SUM(C28:N28)</f>
        <v>0</v>
      </c>
      <c r="Q28" s="103">
        <f>B30-P28</f>
        <v>0</v>
      </c>
      <c r="R28" s="30"/>
    </row>
    <row r="29" spans="1:18" ht="16.149999999999999" customHeight="1" x14ac:dyDescent="0.2">
      <c r="A29" s="298"/>
      <c r="B29" s="283"/>
      <c r="C29" s="284"/>
      <c r="D29" s="284"/>
      <c r="E29" s="280">
        <f>IF(Q28=0,0,IF(Q28=1,0,IF(Q28=2,0,IF(Q28=3,0,IF(Q28=4,1,IF(Q28=5,1))))))</f>
        <v>0</v>
      </c>
      <c r="F29" s="280"/>
      <c r="G29" s="280">
        <f>IF(Q28=0,0,IF(Q28=1,0,IF(Q28=2,1,IF(Q28=3,1,IF(Q28=4,1,IF(Q28=5,1))))))</f>
        <v>0</v>
      </c>
      <c r="H29" s="280"/>
      <c r="I29" s="280">
        <f>IF(Q28=0,0,IF(Q28=1,1,IF(Q28=2,1,IF(Q28=3,1,IF(Q28=4,1,IF(Q28=5,1))))))</f>
        <v>0</v>
      </c>
      <c r="J29" s="280"/>
      <c r="K29" s="280">
        <f>IF(Q28=0,0,IF(Q28=1,0,IF(Q28=2,0,IF(Q28=3,1,IF(Q28=4,1,IF(Q28=5,1))))))</f>
        <v>0</v>
      </c>
      <c r="L29" s="280"/>
      <c r="M29" s="280">
        <f>IF(Q28=0,0,IF(Q28=1,0,IF(Q28=2,0,IF(Q28=3,0,IF(Q28=4,0,IF(Q28=5,1))))))</f>
        <v>0</v>
      </c>
      <c r="N29" s="281"/>
      <c r="O29" s="78"/>
      <c r="P29" s="104"/>
      <c r="Q29" s="105"/>
      <c r="R29" s="30"/>
    </row>
    <row r="30" spans="1:18" ht="16.149999999999999" customHeight="1" thickBot="1" x14ac:dyDescent="0.35">
      <c r="A30" s="298"/>
      <c r="B30" s="101">
        <f>MAWA.ETWU!G37</f>
        <v>0</v>
      </c>
      <c r="C30" s="276">
        <f>SUM(C28:D29)</f>
        <v>0</v>
      </c>
      <c r="D30" s="276"/>
      <c r="E30" s="276">
        <f t="shared" ref="E30" si="4">SUM(E28:F29)</f>
        <v>0</v>
      </c>
      <c r="F30" s="276"/>
      <c r="G30" s="276">
        <f t="shared" ref="G30" si="5">SUM(G28:H29)</f>
        <v>0</v>
      </c>
      <c r="H30" s="276"/>
      <c r="I30" s="276">
        <f t="shared" ref="I30" si="6">SUM(I28:J29)</f>
        <v>0</v>
      </c>
      <c r="J30" s="276"/>
      <c r="K30" s="276">
        <f t="shared" ref="K30" si="7">SUM(K28:L29)</f>
        <v>0</v>
      </c>
      <c r="L30" s="276"/>
      <c r="M30" s="276">
        <f t="shared" ref="M30" si="8">SUM(M28:N29)</f>
        <v>0</v>
      </c>
      <c r="N30" s="277"/>
      <c r="O30" s="78"/>
      <c r="P30" s="106">
        <f>SUM(C30:N30)</f>
        <v>0</v>
      </c>
      <c r="Q30" s="107">
        <f>B30-P30</f>
        <v>0</v>
      </c>
      <c r="R30" s="30"/>
    </row>
    <row r="31" spans="1:18" ht="16.149999999999999" customHeight="1" x14ac:dyDescent="0.2">
      <c r="A31" s="298"/>
      <c r="B31" s="271" t="s">
        <v>115</v>
      </c>
      <c r="C31" s="109">
        <f>C24*0.5+N24*0.5</f>
        <v>1.5940423436730675E-2</v>
      </c>
      <c r="D31" s="109">
        <f>D24*0.5+C24*0.5</f>
        <v>2.4310684391925165E-2</v>
      </c>
      <c r="E31" s="109">
        <f>E24*0.5+D24*0.5</f>
        <v>4.4005416051206309E-2</v>
      </c>
      <c r="F31" s="109">
        <f>F24*0.5+E24*0.5</f>
        <v>8.013293943870016E-2</v>
      </c>
      <c r="G31" s="109">
        <f t="shared" ref="G31:N31" si="9">G24*0.5+F24*0.5</f>
        <v>0.11410635155096013</v>
      </c>
      <c r="H31" s="109">
        <f t="shared" si="9"/>
        <v>0.13257016248153619</v>
      </c>
      <c r="I31" s="109">
        <f t="shared" si="9"/>
        <v>0.14174052191038897</v>
      </c>
      <c r="J31" s="109">
        <f t="shared" si="9"/>
        <v>0.1411866075824717</v>
      </c>
      <c r="K31" s="109">
        <f t="shared" si="9"/>
        <v>0.1240768094534712</v>
      </c>
      <c r="L31" s="109">
        <f t="shared" si="9"/>
        <v>9.2442146725750879E-2</v>
      </c>
      <c r="M31" s="109">
        <f t="shared" si="9"/>
        <v>6.0130477597242743E-2</v>
      </c>
      <c r="N31" s="110">
        <f t="shared" si="9"/>
        <v>2.9357459379615952E-2</v>
      </c>
      <c r="O31" s="78"/>
      <c r="P31" s="115"/>
      <c r="Q31" s="116"/>
      <c r="R31" s="30"/>
    </row>
    <row r="32" spans="1:18" ht="16.149999999999999" customHeight="1" x14ac:dyDescent="0.2">
      <c r="A32" s="298"/>
      <c r="B32" s="272"/>
      <c r="C32" s="111">
        <f>ROUNDDOWN(B34*C31,0)</f>
        <v>0</v>
      </c>
      <c r="D32" s="111">
        <f>ROUNDDOWN(B34*D31,0)</f>
        <v>0</v>
      </c>
      <c r="E32" s="111">
        <f>ROUNDDOWN(B34*E31,0)</f>
        <v>0</v>
      </c>
      <c r="F32" s="111">
        <f>ROUNDDOWN(B34*F31,0)</f>
        <v>0</v>
      </c>
      <c r="G32" s="111">
        <f>ROUNDDOWN(B34*G31,0)</f>
        <v>0</v>
      </c>
      <c r="H32" s="111">
        <f>ROUNDDOWN(B34*H31,0)</f>
        <v>0</v>
      </c>
      <c r="I32" s="111">
        <f>ROUNDDOWN(B34*I31,0)</f>
        <v>0</v>
      </c>
      <c r="J32" s="111">
        <f>ROUNDDOWN(B34*J31,0)</f>
        <v>0</v>
      </c>
      <c r="K32" s="111">
        <f>ROUNDDOWN(B34*K31,0)</f>
        <v>0</v>
      </c>
      <c r="L32" s="111">
        <f>ROUNDDOWN(B34*L31,0)</f>
        <v>0</v>
      </c>
      <c r="M32" s="111">
        <f>ROUNDDOWN(B34*M31,0)</f>
        <v>0</v>
      </c>
      <c r="N32" s="112">
        <f>ROUNDDOWN(B34*N31,0)</f>
        <v>0</v>
      </c>
      <c r="O32" s="78"/>
      <c r="P32" s="117">
        <f>SUM(C32:O32)</f>
        <v>0</v>
      </c>
      <c r="Q32" s="118">
        <f>B34-P32</f>
        <v>0</v>
      </c>
      <c r="R32" s="30"/>
    </row>
    <row r="33" spans="1:19" ht="16.149999999999999" customHeight="1" x14ac:dyDescent="0.2">
      <c r="A33" s="298"/>
      <c r="B33" s="273"/>
      <c r="C33" s="122"/>
      <c r="D33" s="122"/>
      <c r="E33" s="111">
        <f>IF(Q32=0,0,IF(Q32=1,0,IF(Q32=2,0,IF(Q32=3,0,IF(Q32=4,0,IF(Q32=5,0,IF(Q32=6,0,IF(Q32=7,0,IF(Q32=8,0,IF(Q32=9,1))))))))))</f>
        <v>0</v>
      </c>
      <c r="F33" s="111">
        <f>IF(Q32=0,0,IF(Q32=1,0,IF(Q32=2,0,IF(Q32=3,0,IF(Q32=4,0,IF(Q32=5,0,IF(Q32=6,0,IF(Q32=7,1,IF(Q32=8,1,IF(Q32=9,1))))))))))</f>
        <v>0</v>
      </c>
      <c r="G33" s="111">
        <f>IF(Q32=0,0,IF(Q32=1,0,IF(Q32=2,0,IF(Q32=3,0,IF(Q32=4,0,IF(Q32=5,1,IF(Q32=6,1,IF(Q32=7,1,IF(Q32=8,1,IF(Q32=9,1))))))))))</f>
        <v>0</v>
      </c>
      <c r="H33" s="111">
        <f>IF(Q32=0,0,IF(Q32=1,0,IF(Q32=2,0,IF(Q32=3,1,IF(Q32=4,1,IF(Q32=5,1,IF(Q32=6,1,IF(Q32=7,1,IF(Q32=8,1,IF(Q32=9,1))))))))))</f>
        <v>0</v>
      </c>
      <c r="I33" s="111">
        <f>IF(Q32=0,0,IF(Q32=1,1,IF(Q32=2,1,IF(Q32=3,1,IF(Q32=4,1,IF(Q32=5,1,IF(Q32=6,1,IF(Q32=7,1,IF(Q32=8,1,IF(Q32=9,1))))))))))</f>
        <v>0</v>
      </c>
      <c r="J33" s="111">
        <f>IF(Q32=0,0,IF(Q32=1,0,IF(Q32=2,1,IF(Q32=3,1,IF(Q32=4,1,IF(Q32=5,1,IF(Q32=6,1,IF(Q32=7,1,IF(Q32=8,1,IF(Q32=9,1))))))))))</f>
        <v>0</v>
      </c>
      <c r="K33" s="111">
        <f>IF(Q32=0,0,IF(Q32=1,0,IF(Q32=2,0,IF(Q32=3,0,IF(Q32=4,1,IF(Q32=5,1,IF(Q32=6,1,IF(Q32=7,1,IF(Q32=8,1,IF(Q32=9,1))))))))))</f>
        <v>0</v>
      </c>
      <c r="L33" s="111">
        <f>IF(Q32=0,0,IF(Q32=1,0,IF(Q32=2,0,IF(Q32=3,0,IF(Q32=4,0,IF(Q32=5,0,IF(Q32=6,1,IF(Q32=7,1,IF(Q32=8,1,IF(Q32=9,1))))))))))</f>
        <v>0</v>
      </c>
      <c r="M33" s="111">
        <f>IF(Q32=0,0,IF(Q32=1,0,IF(Q32=2,0,IF(Q32=3,0,IF(Q32=4,0,IF(Q32=5,0,IF(Q32=6,0,IF(Q32=7,0,IF(Q32=8,1,IF(Q32=9,1))))))))))</f>
        <v>0</v>
      </c>
      <c r="N33" s="123"/>
      <c r="O33" s="78"/>
      <c r="P33" s="117"/>
      <c r="Q33" s="118"/>
      <c r="R33" s="30"/>
    </row>
    <row r="34" spans="1:19" ht="16.149999999999999" customHeight="1" thickBot="1" x14ac:dyDescent="0.3">
      <c r="A34" s="298"/>
      <c r="B34" s="113">
        <f>'MAWA.ETWU Monthly'!G37</f>
        <v>0</v>
      </c>
      <c r="C34" s="114">
        <f>SUM(C32:C33)</f>
        <v>0</v>
      </c>
      <c r="D34" s="114">
        <f t="shared" ref="D34" si="10">SUM(D32:D33)</f>
        <v>0</v>
      </c>
      <c r="E34" s="114">
        <f t="shared" ref="E34" si="11">SUM(E32:E33)</f>
        <v>0</v>
      </c>
      <c r="F34" s="114">
        <f t="shared" ref="F34" si="12">SUM(F32:F33)</f>
        <v>0</v>
      </c>
      <c r="G34" s="114">
        <f t="shared" ref="G34" si="13">SUM(G32:G33)</f>
        <v>0</v>
      </c>
      <c r="H34" s="114">
        <f t="shared" ref="H34" si="14">SUM(H32:H33)</f>
        <v>0</v>
      </c>
      <c r="I34" s="114">
        <f t="shared" ref="I34" si="15">SUM(I32:I33)</f>
        <v>0</v>
      </c>
      <c r="J34" s="114">
        <f t="shared" ref="J34" si="16">SUM(J32:J33)</f>
        <v>0</v>
      </c>
      <c r="K34" s="114">
        <f t="shared" ref="K34" si="17">SUM(K32:K33)</f>
        <v>0</v>
      </c>
      <c r="L34" s="114">
        <f t="shared" ref="L34" si="18">SUM(L32:L33)</f>
        <v>0</v>
      </c>
      <c r="M34" s="114">
        <f t="shared" ref="M34" si="19">SUM(M32:M33)</f>
        <v>0</v>
      </c>
      <c r="N34" s="114">
        <f t="shared" ref="N34" si="20">SUM(N32:N33)</f>
        <v>0</v>
      </c>
      <c r="O34" s="78"/>
      <c r="P34" s="121">
        <f>SUM(C34:N34)</f>
        <v>0</v>
      </c>
      <c r="Q34" s="120">
        <f>B34-P34</f>
        <v>0</v>
      </c>
      <c r="R34" s="30"/>
    </row>
    <row r="35" spans="1:19" ht="16.149999999999999" customHeight="1" x14ac:dyDescent="0.2">
      <c r="A35" s="298"/>
      <c r="B35" s="30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30"/>
      <c r="P35" s="30"/>
      <c r="Q35" s="30"/>
      <c r="R35" s="30"/>
    </row>
    <row r="36" spans="1:19" ht="16.149999999999999" customHeight="1" x14ac:dyDescent="0.2">
      <c r="A36" s="93"/>
      <c r="B36" s="1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1"/>
      <c r="P36" s="1"/>
      <c r="Q36" s="1"/>
      <c r="R36" s="1"/>
      <c r="S36" s="1"/>
    </row>
    <row r="37" spans="1:19" ht="16.149999999999999" customHeight="1" x14ac:dyDescent="0.2">
      <c r="A37" s="93"/>
      <c r="B37" s="1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1"/>
      <c r="P37" s="1"/>
      <c r="Q37" s="1"/>
      <c r="R37" s="1"/>
      <c r="S37" s="1"/>
    </row>
    <row r="38" spans="1:19" ht="16.149999999999999" customHeight="1" x14ac:dyDescent="0.2">
      <c r="A38" s="1"/>
      <c r="B38" s="92"/>
      <c r="C38" s="96"/>
      <c r="D38" s="97"/>
      <c r="E38" s="96"/>
      <c r="F38" s="97"/>
      <c r="G38" s="96"/>
      <c r="H38" s="97"/>
      <c r="I38" s="96"/>
      <c r="J38" s="97"/>
      <c r="K38" s="96"/>
      <c r="L38" s="97"/>
      <c r="M38" s="96"/>
      <c r="N38" s="97"/>
      <c r="O38" s="1"/>
      <c r="P38" s="1"/>
      <c r="Q38" s="1"/>
      <c r="R38" s="1"/>
      <c r="S38" s="1"/>
    </row>
    <row r="39" spans="1:19" ht="16.149999999999999" customHeight="1" x14ac:dyDescent="0.2">
      <c r="A39" s="1"/>
      <c r="B39" s="9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6.149999999999999" customHeight="1" x14ac:dyDescent="0.2">
      <c r="A40" s="1"/>
      <c r="B40" s="9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6.149999999999999" customHeight="1" x14ac:dyDescent="0.2">
      <c r="A41" s="1"/>
      <c r="B41" s="9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6.149999999999999" customHeight="1" x14ac:dyDescent="0.2">
      <c r="A42" s="1"/>
      <c r="B42" s="9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6.149999999999999" customHeight="1" x14ac:dyDescent="0.2">
      <c r="A43" s="1"/>
      <c r="B43" s="9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6.149999999999999" customHeight="1" x14ac:dyDescent="0.2">
      <c r="A44" s="1"/>
      <c r="B44" s="9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6.149999999999999" customHeight="1" x14ac:dyDescent="0.2">
      <c r="A45" s="1"/>
      <c r="B45" s="9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6.149999999999999" customHeight="1" x14ac:dyDescent="0.2">
      <c r="A46" s="1"/>
      <c r="B46" s="9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6.149999999999999" customHeight="1" x14ac:dyDescent="0.2">
      <c r="A47" s="1"/>
      <c r="B47" s="9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6.14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6.14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6.14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6.14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6.14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6.14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6.14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6.14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6.14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6.14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</sheetData>
  <sheetProtection password="CC45" sheet="1" objects="1" scenarios="1"/>
  <mergeCells count="67">
    <mergeCell ref="A1:A35"/>
    <mergeCell ref="C9:D9"/>
    <mergeCell ref="E9:F9"/>
    <mergeCell ref="G9:H9"/>
    <mergeCell ref="I9:J9"/>
    <mergeCell ref="B11:B12"/>
    <mergeCell ref="C11:D11"/>
    <mergeCell ref="E11:F11"/>
    <mergeCell ref="G11:H11"/>
    <mergeCell ref="C19:N19"/>
    <mergeCell ref="C2:N2"/>
    <mergeCell ref="K9:L9"/>
    <mergeCell ref="M9:N9"/>
    <mergeCell ref="C10:D10"/>
    <mergeCell ref="E10:F10"/>
    <mergeCell ref="G10:H10"/>
    <mergeCell ref="M10:N10"/>
    <mergeCell ref="M13:N13"/>
    <mergeCell ref="I11:J11"/>
    <mergeCell ref="K11:L11"/>
    <mergeCell ref="M11:N11"/>
    <mergeCell ref="M12:N12"/>
    <mergeCell ref="E12:F12"/>
    <mergeCell ref="G12:H12"/>
    <mergeCell ref="I12:J12"/>
    <mergeCell ref="K12:L12"/>
    <mergeCell ref="I10:J10"/>
    <mergeCell ref="K10:L10"/>
    <mergeCell ref="C13:D13"/>
    <mergeCell ref="E13:F13"/>
    <mergeCell ref="G13:H13"/>
    <mergeCell ref="I13:J13"/>
    <mergeCell ref="K13:L13"/>
    <mergeCell ref="M27:N27"/>
    <mergeCell ref="C26:D26"/>
    <mergeCell ref="E26:F26"/>
    <mergeCell ref="G26:H26"/>
    <mergeCell ref="I26:J26"/>
    <mergeCell ref="K26:L26"/>
    <mergeCell ref="M26:N26"/>
    <mergeCell ref="C27:D27"/>
    <mergeCell ref="E27:F27"/>
    <mergeCell ref="G27:H27"/>
    <mergeCell ref="I27:J27"/>
    <mergeCell ref="K27:L27"/>
    <mergeCell ref="K28:L28"/>
    <mergeCell ref="B28:B29"/>
    <mergeCell ref="C28:D28"/>
    <mergeCell ref="E28:F28"/>
    <mergeCell ref="G28:H28"/>
    <mergeCell ref="I28:J28"/>
    <mergeCell ref="B14:B16"/>
    <mergeCell ref="B31:B33"/>
    <mergeCell ref="C12:D12"/>
    <mergeCell ref="M30:N30"/>
    <mergeCell ref="C30:D30"/>
    <mergeCell ref="E30:F30"/>
    <mergeCell ref="G30:H30"/>
    <mergeCell ref="I30:J30"/>
    <mergeCell ref="K30:L30"/>
    <mergeCell ref="M28:N28"/>
    <mergeCell ref="C29:D29"/>
    <mergeCell ref="E29:F29"/>
    <mergeCell ref="G29:H29"/>
    <mergeCell ref="I29:J29"/>
    <mergeCell ref="K29:L29"/>
    <mergeCell ref="M29:N29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3"/>
  <sheetViews>
    <sheetView zoomScale="90" zoomScaleNormal="90" workbookViewId="0">
      <selection activeCell="P7" sqref="P7"/>
    </sheetView>
  </sheetViews>
  <sheetFormatPr defaultRowHeight="12.75" x14ac:dyDescent="0.2"/>
  <cols>
    <col min="1" max="1" width="6.7109375" customWidth="1"/>
    <col min="2" max="2" width="34.7109375" customWidth="1"/>
    <col min="3" max="15" width="6.7109375" customWidth="1"/>
    <col min="16" max="17" width="8" customWidth="1"/>
  </cols>
  <sheetData>
    <row r="1" spans="1:18" ht="16.149999999999999" customHeight="1" x14ac:dyDescent="0.2">
      <c r="A1" s="298" t="s">
        <v>71</v>
      </c>
      <c r="B1" s="30"/>
      <c r="C1" s="30"/>
      <c r="D1" s="303"/>
      <c r="E1" s="303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6.149999999999999" customHeight="1" x14ac:dyDescent="0.3">
      <c r="A2" s="298"/>
      <c r="B2" s="77" t="s">
        <v>37</v>
      </c>
      <c r="C2" s="299" t="s">
        <v>95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30"/>
      <c r="P2" s="30"/>
      <c r="Q2" s="30"/>
      <c r="R2" s="30"/>
    </row>
    <row r="3" spans="1:18" ht="16.149999999999999" customHeight="1" x14ac:dyDescent="0.2">
      <c r="A3" s="298"/>
      <c r="B3" s="30"/>
      <c r="C3" s="36" t="s">
        <v>38</v>
      </c>
      <c r="D3" s="36" t="s">
        <v>39</v>
      </c>
      <c r="E3" s="36" t="s">
        <v>40</v>
      </c>
      <c r="F3" s="36" t="s">
        <v>41</v>
      </c>
      <c r="G3" s="36" t="s">
        <v>42</v>
      </c>
      <c r="H3" s="36" t="s">
        <v>43</v>
      </c>
      <c r="I3" s="36" t="s">
        <v>44</v>
      </c>
      <c r="J3" s="36" t="s">
        <v>45</v>
      </c>
      <c r="K3" s="36" t="s">
        <v>46</v>
      </c>
      <c r="L3" s="36" t="s">
        <v>47</v>
      </c>
      <c r="M3" s="36" t="s">
        <v>48</v>
      </c>
      <c r="N3" s="36" t="s">
        <v>49</v>
      </c>
      <c r="O3" s="80" t="s">
        <v>50</v>
      </c>
      <c r="P3" s="80" t="s">
        <v>51</v>
      </c>
      <c r="Q3" s="30"/>
      <c r="R3" s="30"/>
    </row>
    <row r="4" spans="1:18" ht="16.149999999999999" customHeight="1" x14ac:dyDescent="0.2">
      <c r="A4" s="298"/>
      <c r="B4" s="30" t="s">
        <v>52</v>
      </c>
      <c r="C4" s="37">
        <v>0.93</v>
      </c>
      <c r="D4" s="38">
        <v>1.68</v>
      </c>
      <c r="E4" s="39">
        <v>2.79</v>
      </c>
      <c r="F4" s="39">
        <v>4.2</v>
      </c>
      <c r="G4" s="39">
        <v>5.58</v>
      </c>
      <c r="H4" s="39">
        <v>6.3</v>
      </c>
      <c r="I4" s="39">
        <v>6.51</v>
      </c>
      <c r="J4" s="39">
        <v>5.89</v>
      </c>
      <c r="K4" s="39">
        <v>4.5</v>
      </c>
      <c r="L4" s="39">
        <v>3.1</v>
      </c>
      <c r="M4" s="39">
        <v>1.5</v>
      </c>
      <c r="N4" s="37">
        <v>0.93</v>
      </c>
      <c r="O4" s="81">
        <f>SUM(D4:M4)</f>
        <v>42.050000000000004</v>
      </c>
      <c r="P4" s="82">
        <f>O4-O6</f>
        <v>38.475000000000001</v>
      </c>
      <c r="Q4" s="30"/>
      <c r="R4" s="30"/>
    </row>
    <row r="5" spans="1:18" ht="16.149999999999999" customHeight="1" x14ac:dyDescent="0.2">
      <c r="A5" s="298"/>
      <c r="B5" s="78" t="s">
        <v>53</v>
      </c>
      <c r="C5" s="40">
        <v>4.3</v>
      </c>
      <c r="D5" s="41">
        <v>4.2</v>
      </c>
      <c r="E5" s="41">
        <v>4.0999999999999996</v>
      </c>
      <c r="F5" s="41">
        <v>1.5</v>
      </c>
      <c r="G5" s="41">
        <v>0.5</v>
      </c>
      <c r="H5" s="41">
        <v>0.3</v>
      </c>
      <c r="I5" s="41">
        <v>0</v>
      </c>
      <c r="J5" s="41">
        <v>0</v>
      </c>
      <c r="K5" s="41">
        <v>0</v>
      </c>
      <c r="L5" s="41">
        <v>1.6</v>
      </c>
      <c r="M5" s="41">
        <v>2.1</v>
      </c>
      <c r="N5" s="40">
        <v>5.4</v>
      </c>
      <c r="O5" s="30"/>
      <c r="P5" s="30"/>
      <c r="Q5" s="30"/>
      <c r="R5" s="30"/>
    </row>
    <row r="6" spans="1:18" ht="16.149999999999999" customHeight="1" x14ac:dyDescent="0.2">
      <c r="A6" s="298"/>
      <c r="B6" s="79" t="s">
        <v>117</v>
      </c>
      <c r="C6" s="57">
        <f>C5*0.25</f>
        <v>1.075</v>
      </c>
      <c r="D6" s="55">
        <f t="shared" ref="D6:N6" si="0">D5*0.25</f>
        <v>1.05</v>
      </c>
      <c r="E6" s="55">
        <f t="shared" si="0"/>
        <v>1.0249999999999999</v>
      </c>
      <c r="F6" s="55">
        <f t="shared" si="0"/>
        <v>0.375</v>
      </c>
      <c r="G6" s="55">
        <f t="shared" si="0"/>
        <v>0.125</v>
      </c>
      <c r="H6" s="55">
        <f t="shared" si="0"/>
        <v>7.4999999999999997E-2</v>
      </c>
      <c r="I6" s="55">
        <f t="shared" si="0"/>
        <v>0</v>
      </c>
      <c r="J6" s="55">
        <f t="shared" si="0"/>
        <v>0</v>
      </c>
      <c r="K6" s="55">
        <f t="shared" si="0"/>
        <v>0</v>
      </c>
      <c r="L6" s="55">
        <f t="shared" si="0"/>
        <v>0.4</v>
      </c>
      <c r="M6" s="55">
        <f t="shared" si="0"/>
        <v>0.52500000000000002</v>
      </c>
      <c r="N6" s="57">
        <f t="shared" si="0"/>
        <v>1.35</v>
      </c>
      <c r="O6" s="83">
        <f>SUM(D6:M6)</f>
        <v>3.5750000000000002</v>
      </c>
      <c r="P6" s="30"/>
      <c r="Q6" s="30"/>
      <c r="R6" s="30"/>
    </row>
    <row r="7" spans="1:18" ht="16.149999999999999" customHeight="1" x14ac:dyDescent="0.2">
      <c r="A7" s="298"/>
      <c r="B7" s="76" t="s">
        <v>103</v>
      </c>
      <c r="C7" s="75">
        <v>0</v>
      </c>
      <c r="D7" s="44">
        <f>(D4-D6)/P4</f>
        <v>1.6374269005847951E-2</v>
      </c>
      <c r="E7" s="75">
        <f>(E4-E6)/P4</f>
        <v>4.5873944119558155E-2</v>
      </c>
      <c r="F7" s="45">
        <f>(F4-F6)/P4</f>
        <v>9.9415204678362568E-2</v>
      </c>
      <c r="G7" s="75">
        <f>(G4-G6)/P4</f>
        <v>0.14178037686809616</v>
      </c>
      <c r="H7" s="46">
        <f>(H4-H6)/P4</f>
        <v>0.1617933723196881</v>
      </c>
      <c r="I7" s="75">
        <f>(I4-I6)/P4</f>
        <v>0.16920077972709552</v>
      </c>
      <c r="J7" s="47">
        <f>(J4-J6)/P4</f>
        <v>0.1530864197530864</v>
      </c>
      <c r="K7" s="75">
        <f>(K4-K6)/P4</f>
        <v>0.11695906432748537</v>
      </c>
      <c r="L7" s="48">
        <f>(L4-L6)/P4</f>
        <v>7.0175438596491224E-2</v>
      </c>
      <c r="M7" s="52">
        <f>(M4-M6)/P4</f>
        <v>2.5341130604288498E-2</v>
      </c>
      <c r="N7" s="49">
        <v>0</v>
      </c>
      <c r="O7" s="78"/>
      <c r="P7" s="78"/>
      <c r="Q7" s="78"/>
      <c r="R7" s="78"/>
    </row>
    <row r="8" spans="1:18" ht="16.149999999999999" customHeight="1" x14ac:dyDescent="0.2">
      <c r="A8" s="298"/>
      <c r="B8" s="30"/>
      <c r="C8" s="87"/>
      <c r="D8" s="87"/>
      <c r="E8" s="87"/>
      <c r="F8" s="87"/>
      <c r="G8" s="87"/>
      <c r="H8" s="87"/>
      <c r="I8" s="87"/>
      <c r="J8" s="87"/>
      <c r="K8" s="87"/>
      <c r="L8" s="87"/>
      <c r="M8" s="86"/>
      <c r="N8" s="86"/>
      <c r="O8" s="78"/>
      <c r="P8" s="78"/>
      <c r="Q8" s="78"/>
      <c r="R8" s="78"/>
    </row>
    <row r="9" spans="1:18" ht="16.149999999999999" customHeight="1" x14ac:dyDescent="0.2">
      <c r="A9" s="298"/>
      <c r="B9" s="30" t="s">
        <v>54</v>
      </c>
      <c r="C9" s="286" t="s">
        <v>55</v>
      </c>
      <c r="D9" s="286"/>
      <c r="E9" s="287" t="s">
        <v>56</v>
      </c>
      <c r="F9" s="287"/>
      <c r="G9" s="288" t="s">
        <v>57</v>
      </c>
      <c r="H9" s="288"/>
      <c r="I9" s="289" t="s">
        <v>58</v>
      </c>
      <c r="J9" s="289"/>
      <c r="K9" s="290" t="s">
        <v>59</v>
      </c>
      <c r="L9" s="290"/>
      <c r="M9" s="291" t="s">
        <v>60</v>
      </c>
      <c r="N9" s="291"/>
      <c r="O9" s="78"/>
      <c r="P9" s="78"/>
      <c r="Q9" s="18"/>
      <c r="R9" s="18"/>
    </row>
    <row r="10" spans="1:18" ht="16.149999999999999" customHeight="1" thickBot="1" x14ac:dyDescent="0.25">
      <c r="A10" s="298"/>
      <c r="B10" s="30"/>
      <c r="C10" s="292">
        <f>N7+M7*0.5+C7*0.5</f>
        <v>1.2670565302144249E-2</v>
      </c>
      <c r="D10" s="292"/>
      <c r="E10" s="293">
        <f>D7+C7*0.5+E7*0.5</f>
        <v>3.9311241065627028E-2</v>
      </c>
      <c r="F10" s="293"/>
      <c r="G10" s="294">
        <f>F7+E7*0.5+G7*0.5</f>
        <v>0.19324236517218973</v>
      </c>
      <c r="H10" s="294"/>
      <c r="I10" s="295">
        <f>H7+G7*0.5+I7*0.5</f>
        <v>0.31728395061728398</v>
      </c>
      <c r="J10" s="295"/>
      <c r="K10" s="296">
        <f>J7+I7*0.5+K7*0.5</f>
        <v>0.29616634178037682</v>
      </c>
      <c r="L10" s="296"/>
      <c r="M10" s="285">
        <f>L7+K7*0.5+M7*0.5</f>
        <v>0.14132553606237816</v>
      </c>
      <c r="N10" s="285"/>
      <c r="O10" s="78"/>
      <c r="P10" s="84" t="s">
        <v>61</v>
      </c>
      <c r="Q10" s="84" t="s">
        <v>62</v>
      </c>
      <c r="R10" s="88"/>
    </row>
    <row r="11" spans="1:18" ht="16.149999999999999" customHeight="1" x14ac:dyDescent="0.2">
      <c r="A11" s="298"/>
      <c r="B11" s="282" t="s">
        <v>114</v>
      </c>
      <c r="C11" s="278">
        <f>ROUNDDOWN(B13*C10,0)</f>
        <v>0</v>
      </c>
      <c r="D11" s="278"/>
      <c r="E11" s="278">
        <f>ROUNDDOWN(B13*E10,0)</f>
        <v>0</v>
      </c>
      <c r="F11" s="278"/>
      <c r="G11" s="278">
        <f>ROUNDDOWN(B13*G10,0)</f>
        <v>0</v>
      </c>
      <c r="H11" s="278"/>
      <c r="I11" s="278">
        <f>ROUNDDOWN(B13*I10,0)</f>
        <v>0</v>
      </c>
      <c r="J11" s="278"/>
      <c r="K11" s="278">
        <f>ROUNDDOWN(B13*K10,0)</f>
        <v>0</v>
      </c>
      <c r="L11" s="278"/>
      <c r="M11" s="278">
        <f>ROUNDDOWN(B13*M10,0)</f>
        <v>0</v>
      </c>
      <c r="N11" s="279"/>
      <c r="O11" s="78"/>
      <c r="P11" s="102">
        <f>SUM(C11:N11)</f>
        <v>0</v>
      </c>
      <c r="Q11" s="103">
        <f>B13-P11</f>
        <v>0</v>
      </c>
      <c r="R11" s="78"/>
    </row>
    <row r="12" spans="1:18" ht="16.149999999999999" customHeight="1" x14ac:dyDescent="0.2">
      <c r="A12" s="298"/>
      <c r="B12" s="283"/>
      <c r="C12" s="300"/>
      <c r="D12" s="301"/>
      <c r="E12" s="280">
        <f>IF(Q11=0,0,IF(Q11=1,0,IF(Q11=2,0,IF(Q11=3,0,IF(Q11=4,0,IF(Q11=5,1))))))</f>
        <v>0</v>
      </c>
      <c r="F12" s="280"/>
      <c r="G12" s="280">
        <f>IF(Q11=0,0,IF(Q11=1,0,IF(Q11=2,0,IF(Q11=3,1,IF(Q11=4,1,IF(Q11=5,1))))))</f>
        <v>0</v>
      </c>
      <c r="H12" s="280"/>
      <c r="I12" s="280">
        <f>IF(Q11=0,0,IF(Q11=1,1,IF(Q11=2,1,IF(Q11=3,1,IF(Q11=4,1,IF(Q11=5,1))))))</f>
        <v>0</v>
      </c>
      <c r="J12" s="280"/>
      <c r="K12" s="280">
        <f>IF(Q11=0,0,IF(Q11=1,0,IF(Q11=2,1,IF(Q11=3,1,IF(Q11=4,1,IF(Q11=5,1))))))</f>
        <v>0</v>
      </c>
      <c r="L12" s="280"/>
      <c r="M12" s="280">
        <f>IF(Q11=0,0,IF(Q11=1,0,IF(Q11=2,0,IF(Q11=3,0,IF(Q11=4,1,IF(Q11=5,1))))))</f>
        <v>0</v>
      </c>
      <c r="N12" s="281"/>
      <c r="O12" s="78"/>
      <c r="P12" s="104"/>
      <c r="Q12" s="105"/>
      <c r="R12" s="78"/>
    </row>
    <row r="13" spans="1:18" ht="16.149999999999999" customHeight="1" thickBot="1" x14ac:dyDescent="0.35">
      <c r="A13" s="298"/>
      <c r="B13" s="101">
        <f>MAWA.ETWU!G37</f>
        <v>0</v>
      </c>
      <c r="C13" s="276">
        <f>C11</f>
        <v>0</v>
      </c>
      <c r="D13" s="276"/>
      <c r="E13" s="276">
        <f>E11</f>
        <v>0</v>
      </c>
      <c r="F13" s="276"/>
      <c r="G13" s="276">
        <f>SUM(G11:H12)</f>
        <v>0</v>
      </c>
      <c r="H13" s="276"/>
      <c r="I13" s="276">
        <f>SUM(I11:J12)</f>
        <v>0</v>
      </c>
      <c r="J13" s="276"/>
      <c r="K13" s="297">
        <f>SUM(K11:L12)</f>
        <v>0</v>
      </c>
      <c r="L13" s="297"/>
      <c r="M13" s="276">
        <f>SUM(M11:N12)</f>
        <v>0</v>
      </c>
      <c r="N13" s="277"/>
      <c r="O13" s="78"/>
      <c r="P13" s="106">
        <f>SUM(C13:N13)</f>
        <v>0</v>
      </c>
      <c r="Q13" s="107">
        <f>B13-P13</f>
        <v>0</v>
      </c>
      <c r="R13" s="78"/>
    </row>
    <row r="14" spans="1:18" ht="16.149999999999999" customHeight="1" x14ac:dyDescent="0.2">
      <c r="A14" s="298"/>
      <c r="B14" s="271" t="s">
        <v>115</v>
      </c>
      <c r="C14" s="109">
        <f>C7*0.5+N7*0.5</f>
        <v>0</v>
      </c>
      <c r="D14" s="109">
        <f>D7*0.5+C7*0.5</f>
        <v>8.1871345029239755E-3</v>
      </c>
      <c r="E14" s="109">
        <f>E7*0.5+D7*0.5</f>
        <v>3.1124106562703053E-2</v>
      </c>
      <c r="F14" s="109">
        <f>F7*0.5+E7*0.5</f>
        <v>7.2644574398960354E-2</v>
      </c>
      <c r="G14" s="109">
        <f t="shared" ref="G14:N14" si="1">G7*0.5+F7*0.5</f>
        <v>0.12059779077322937</v>
      </c>
      <c r="H14" s="109">
        <f t="shared" si="1"/>
        <v>0.15178687459389212</v>
      </c>
      <c r="I14" s="109">
        <f t="shared" si="1"/>
        <v>0.16549707602339181</v>
      </c>
      <c r="J14" s="109">
        <f t="shared" si="1"/>
        <v>0.16114359974009096</v>
      </c>
      <c r="K14" s="109">
        <f t="shared" si="1"/>
        <v>0.13502274204028589</v>
      </c>
      <c r="L14" s="109">
        <f t="shared" si="1"/>
        <v>9.3567251461988299E-2</v>
      </c>
      <c r="M14" s="109">
        <f t="shared" si="1"/>
        <v>4.7758284600389861E-2</v>
      </c>
      <c r="N14" s="110">
        <f t="shared" si="1"/>
        <v>1.2670565302144249E-2</v>
      </c>
      <c r="O14" s="78"/>
      <c r="P14" s="115"/>
      <c r="Q14" s="116"/>
      <c r="R14" s="78"/>
    </row>
    <row r="15" spans="1:18" ht="16.149999999999999" customHeight="1" x14ac:dyDescent="0.2">
      <c r="A15" s="298"/>
      <c r="B15" s="272"/>
      <c r="C15" s="111">
        <f>ROUNDDOWN(B17*C14,0)</f>
        <v>0</v>
      </c>
      <c r="D15" s="111">
        <f>ROUNDDOWN(B17*D14,0)</f>
        <v>0</v>
      </c>
      <c r="E15" s="111">
        <f>ROUNDDOWN(B17*E14,0)</f>
        <v>0</v>
      </c>
      <c r="F15" s="111">
        <f>ROUNDDOWN(B17*F14,0)</f>
        <v>0</v>
      </c>
      <c r="G15" s="111">
        <f>ROUNDDOWN(B17*G14,0)</f>
        <v>0</v>
      </c>
      <c r="H15" s="111">
        <f>ROUNDDOWN(B17*H14,0)</f>
        <v>0</v>
      </c>
      <c r="I15" s="111">
        <f>ROUNDDOWN(B17*I14,0)</f>
        <v>0</v>
      </c>
      <c r="J15" s="111">
        <f>ROUNDDOWN(B17*J14,0)</f>
        <v>0</v>
      </c>
      <c r="K15" s="111">
        <f>ROUNDDOWN(B17*K14,0)</f>
        <v>0</v>
      </c>
      <c r="L15" s="111">
        <f>ROUNDDOWN(B17*L14,0)</f>
        <v>0</v>
      </c>
      <c r="M15" s="111">
        <f>ROUNDDOWN(B17*M14,0)</f>
        <v>0</v>
      </c>
      <c r="N15" s="112">
        <f>ROUNDDOWN(B17*N14,0)</f>
        <v>0</v>
      </c>
      <c r="O15" s="78"/>
      <c r="P15" s="117">
        <f>SUM(C15:O15)</f>
        <v>0</v>
      </c>
      <c r="Q15" s="118">
        <f>B17-P15</f>
        <v>0</v>
      </c>
      <c r="R15" s="78"/>
    </row>
    <row r="16" spans="1:18" ht="16.149999999999999" customHeight="1" x14ac:dyDescent="0.2">
      <c r="A16" s="298"/>
      <c r="B16" s="273"/>
      <c r="C16" s="122"/>
      <c r="D16" s="122"/>
      <c r="E16" s="111">
        <f>IF(Q15=0,0,IF(Q15=1,0,IF(Q15=2,0,IF(Q15=3,0,IF(Q15=4,0,IF(Q15=5,0,IF(Q15=6,0,IF(Q15=7,0,IF(Q15=8,0,IF(Q15=9,1))))))))))</f>
        <v>0</v>
      </c>
      <c r="F16" s="111">
        <f>IF(Q15=0,0,IF(Q15=1,0,IF(Q15=2,0,IF(Q15=3,0,IF(Q15=4,0,IF(Q15=5,0,IF(Q15=6,0,IF(Q15=7,1,IF(Q15=8,1,IF(Q15=9,1))))))))))</f>
        <v>0</v>
      </c>
      <c r="G16" s="111">
        <f>IF(Q15=0,0,IF(Q15=1,0,IF(Q15=2,0,IF(Q15=3,0,IF(Q15=4,0,IF(Q15=5,1,IF(Q15=6,1,IF(Q15=7,1,IF(Q15=8,1,IF(Q15=9,1))))))))))</f>
        <v>0</v>
      </c>
      <c r="H16" s="111">
        <f>IF(Q15=0,0,IF(Q15=1,0,IF(Q15=2,0,IF(Q15=3,1,IF(Q15=4,1,IF(Q15=5,1,IF(Q15=6,1,IF(Q15=7,1,IF(Q15=8,1,IF(Q15=9,1))))))))))</f>
        <v>0</v>
      </c>
      <c r="I16" s="111">
        <f>IF(Q15=0,0,IF(Q15=1,1,IF(Q15=2,1,IF(Q15=3,1,IF(Q15=4,1,IF(Q15=5,1,IF(Q15=6,1,IF(Q15=7,1,IF(Q15=8,1,IF(Q15=9,1))))))))))</f>
        <v>0</v>
      </c>
      <c r="J16" s="111">
        <f>IF(Q15=0,0,IF(Q15=1,0,IF(Q15=2,1,IF(Q15=3,1,IF(Q15=4,1,IF(Q15=5,1,IF(Q15=6,1,IF(Q15=7,1,IF(Q15=8,1,IF(Q15=9,1))))))))))</f>
        <v>0</v>
      </c>
      <c r="K16" s="111">
        <f>IF(Q15=0,0,IF(Q15=1,0,IF(Q15=2,0,IF(Q15=3,0,IF(Q15=4,1,IF(Q15=5,1,IF(Q15=6,1,IF(Q15=7,1,IF(Q15=8,1,IF(Q15=9,1))))))))))</f>
        <v>0</v>
      </c>
      <c r="L16" s="111">
        <f>IF(Q15=0,0,IF(Q15=1,0,IF(Q15=2,0,IF(Q15=3,0,IF(Q15=4,0,IF(Q15=5,0,IF(Q15=6,1,IF(Q15=7,1,IF(Q15=8,1,IF(Q15=9,1))))))))))</f>
        <v>0</v>
      </c>
      <c r="M16" s="111">
        <f>IF(Q15=0,0,IF(Q15=1,0,IF(Q15=2,0,IF(Q15=3,0,IF(Q15=4,0,IF(Q15=5,0,IF(Q15=6,0,IF(Q15=7,0,IF(Q15=8,1,IF(Q15=9,1))))))))))</f>
        <v>0</v>
      </c>
      <c r="N16" s="123"/>
      <c r="O16" s="78"/>
      <c r="P16" s="117"/>
      <c r="Q16" s="118"/>
      <c r="R16" s="78"/>
    </row>
    <row r="17" spans="1:18" ht="16.149999999999999" customHeight="1" thickBot="1" x14ac:dyDescent="0.3">
      <c r="A17" s="298"/>
      <c r="B17" s="113">
        <f>'MAWA.ETWU Monthly'!G37</f>
        <v>0</v>
      </c>
      <c r="C17" s="114">
        <f>SUM(C15:C16)</f>
        <v>0</v>
      </c>
      <c r="D17" s="114">
        <f t="shared" ref="D17:N17" si="2">SUM(D15:D16)</f>
        <v>0</v>
      </c>
      <c r="E17" s="114">
        <f t="shared" si="2"/>
        <v>0</v>
      </c>
      <c r="F17" s="114">
        <f t="shared" si="2"/>
        <v>0</v>
      </c>
      <c r="G17" s="114">
        <f t="shared" si="2"/>
        <v>0</v>
      </c>
      <c r="H17" s="114">
        <f t="shared" si="2"/>
        <v>0</v>
      </c>
      <c r="I17" s="114">
        <f t="shared" si="2"/>
        <v>0</v>
      </c>
      <c r="J17" s="114">
        <f t="shared" si="2"/>
        <v>0</v>
      </c>
      <c r="K17" s="114">
        <f t="shared" si="2"/>
        <v>0</v>
      </c>
      <c r="L17" s="114">
        <f t="shared" si="2"/>
        <v>0</v>
      </c>
      <c r="M17" s="114">
        <f t="shared" si="2"/>
        <v>0</v>
      </c>
      <c r="N17" s="114">
        <f t="shared" si="2"/>
        <v>0</v>
      </c>
      <c r="O17" s="78"/>
      <c r="P17" s="119">
        <f>SUM(C17:N17)</f>
        <v>0</v>
      </c>
      <c r="Q17" s="120">
        <f>B17-P17</f>
        <v>0</v>
      </c>
      <c r="R17" s="78"/>
    </row>
    <row r="18" spans="1:18" ht="16.149999999999999" customHeight="1" x14ac:dyDescent="0.2">
      <c r="A18" s="298"/>
      <c r="B18" s="30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78"/>
      <c r="P18" s="84"/>
      <c r="Q18" s="84"/>
      <c r="R18" s="78"/>
    </row>
    <row r="19" spans="1:18" ht="16.149999999999999" customHeight="1" x14ac:dyDescent="0.3">
      <c r="A19" s="298"/>
      <c r="B19" s="77" t="s">
        <v>63</v>
      </c>
      <c r="C19" s="299" t="s">
        <v>96</v>
      </c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78"/>
      <c r="P19" s="84"/>
      <c r="Q19" s="84"/>
      <c r="R19" s="78"/>
    </row>
    <row r="20" spans="1:18" ht="16.149999999999999" customHeight="1" x14ac:dyDescent="0.2">
      <c r="A20" s="298"/>
      <c r="B20" s="30"/>
      <c r="C20" s="36" t="s">
        <v>38</v>
      </c>
      <c r="D20" s="36" t="s">
        <v>39</v>
      </c>
      <c r="E20" s="36" t="s">
        <v>40</v>
      </c>
      <c r="F20" s="36" t="s">
        <v>41</v>
      </c>
      <c r="G20" s="36" t="s">
        <v>42</v>
      </c>
      <c r="H20" s="36" t="s">
        <v>43</v>
      </c>
      <c r="I20" s="36" t="s">
        <v>44</v>
      </c>
      <c r="J20" s="36" t="s">
        <v>45</v>
      </c>
      <c r="K20" s="36" t="s">
        <v>46</v>
      </c>
      <c r="L20" s="36" t="s">
        <v>47</v>
      </c>
      <c r="M20" s="36" t="s">
        <v>48</v>
      </c>
      <c r="N20" s="36" t="s">
        <v>49</v>
      </c>
      <c r="O20" s="80" t="s">
        <v>50</v>
      </c>
      <c r="P20" s="80" t="s">
        <v>51</v>
      </c>
      <c r="Q20" s="84"/>
      <c r="R20" s="30"/>
    </row>
    <row r="21" spans="1:18" ht="16.149999999999999" customHeight="1" x14ac:dyDescent="0.2">
      <c r="A21" s="298"/>
      <c r="B21" s="30" t="s">
        <v>52</v>
      </c>
      <c r="C21" s="37">
        <v>0.93</v>
      </c>
      <c r="D21" s="38">
        <v>1.68</v>
      </c>
      <c r="E21" s="39">
        <v>2.79</v>
      </c>
      <c r="F21" s="39">
        <v>4.2</v>
      </c>
      <c r="G21" s="39">
        <v>5.58</v>
      </c>
      <c r="H21" s="39">
        <v>6.3</v>
      </c>
      <c r="I21" s="39">
        <v>6.51</v>
      </c>
      <c r="J21" s="39">
        <v>5.89</v>
      </c>
      <c r="K21" s="39">
        <v>4.5</v>
      </c>
      <c r="L21" s="39">
        <v>3.1</v>
      </c>
      <c r="M21" s="39">
        <v>1.5</v>
      </c>
      <c r="N21" s="37">
        <v>0.93</v>
      </c>
      <c r="O21" s="81">
        <f>SUM(D21:M21)</f>
        <v>42.050000000000004</v>
      </c>
      <c r="P21" s="82">
        <f>O21-O23</f>
        <v>38.475000000000001</v>
      </c>
      <c r="Q21" s="84"/>
      <c r="R21" s="30"/>
    </row>
    <row r="22" spans="1:18" ht="16.149999999999999" customHeight="1" x14ac:dyDescent="0.2">
      <c r="A22" s="298"/>
      <c r="B22" s="78" t="s">
        <v>53</v>
      </c>
      <c r="C22" s="40">
        <v>4.3</v>
      </c>
      <c r="D22" s="41">
        <v>4.2</v>
      </c>
      <c r="E22" s="41">
        <v>4.0999999999999996</v>
      </c>
      <c r="F22" s="41">
        <v>1.5</v>
      </c>
      <c r="G22" s="41">
        <v>0.5</v>
      </c>
      <c r="H22" s="41">
        <v>0.3</v>
      </c>
      <c r="I22" s="41">
        <v>0</v>
      </c>
      <c r="J22" s="41">
        <v>0</v>
      </c>
      <c r="K22" s="41">
        <v>0</v>
      </c>
      <c r="L22" s="41">
        <v>1.6</v>
      </c>
      <c r="M22" s="41">
        <v>2.1</v>
      </c>
      <c r="N22" s="40">
        <v>5.4</v>
      </c>
      <c r="O22" s="30"/>
      <c r="P22" s="30"/>
      <c r="Q22" s="84"/>
      <c r="R22" s="30"/>
    </row>
    <row r="23" spans="1:18" ht="16.149999999999999" customHeight="1" x14ac:dyDescent="0.2">
      <c r="A23" s="298"/>
      <c r="B23" s="79" t="s">
        <v>117</v>
      </c>
      <c r="C23" s="57">
        <f>C22*0.25</f>
        <v>1.075</v>
      </c>
      <c r="D23" s="55">
        <f t="shared" ref="D23:N23" si="3">D22*0.25</f>
        <v>1.05</v>
      </c>
      <c r="E23" s="55">
        <f t="shared" si="3"/>
        <v>1.0249999999999999</v>
      </c>
      <c r="F23" s="55">
        <f t="shared" si="3"/>
        <v>0.375</v>
      </c>
      <c r="G23" s="55">
        <f t="shared" si="3"/>
        <v>0.125</v>
      </c>
      <c r="H23" s="55">
        <f t="shared" si="3"/>
        <v>7.4999999999999997E-2</v>
      </c>
      <c r="I23" s="55">
        <f t="shared" si="3"/>
        <v>0</v>
      </c>
      <c r="J23" s="55">
        <f t="shared" si="3"/>
        <v>0</v>
      </c>
      <c r="K23" s="55">
        <f t="shared" si="3"/>
        <v>0</v>
      </c>
      <c r="L23" s="55">
        <f t="shared" si="3"/>
        <v>0.4</v>
      </c>
      <c r="M23" s="55">
        <f t="shared" si="3"/>
        <v>0.52500000000000002</v>
      </c>
      <c r="N23" s="57">
        <f t="shared" si="3"/>
        <v>1.35</v>
      </c>
      <c r="O23" s="83">
        <f>SUM(D23:M23)</f>
        <v>3.5750000000000002</v>
      </c>
      <c r="P23" s="30"/>
      <c r="Q23" s="84"/>
      <c r="R23" s="30"/>
    </row>
    <row r="24" spans="1:18" ht="16.149999999999999" customHeight="1" x14ac:dyDescent="0.2">
      <c r="A24" s="298"/>
      <c r="B24" s="76" t="s">
        <v>103</v>
      </c>
      <c r="C24" s="50">
        <v>0</v>
      </c>
      <c r="D24" s="75">
        <f>(D21-D23)/P21</f>
        <v>1.6374269005847951E-2</v>
      </c>
      <c r="E24" s="44">
        <f>(E21-E23)/P21</f>
        <v>4.5873944119558155E-2</v>
      </c>
      <c r="F24" s="75">
        <f>(F21-F23)/P21</f>
        <v>9.9415204678362568E-2</v>
      </c>
      <c r="G24" s="45">
        <f>(G21-G23)/P21</f>
        <v>0.14178037686809616</v>
      </c>
      <c r="H24" s="75">
        <f>(H21-H23)/P21</f>
        <v>0.1617933723196881</v>
      </c>
      <c r="I24" s="46">
        <f>(I21-I23)/P21</f>
        <v>0.16920077972709552</v>
      </c>
      <c r="J24" s="75">
        <f>(J21-J23)/P21</f>
        <v>0.1530864197530864</v>
      </c>
      <c r="K24" s="47">
        <f>(K21-K23)/P21</f>
        <v>0.11695906432748537</v>
      </c>
      <c r="L24" s="75">
        <f>(L21-L23)/P21</f>
        <v>7.0175438596491224E-2</v>
      </c>
      <c r="M24" s="51">
        <f>(M21-M23)/P21</f>
        <v>2.5341130604288498E-2</v>
      </c>
      <c r="N24" s="52">
        <v>0</v>
      </c>
      <c r="O24" s="78"/>
      <c r="P24" s="78"/>
      <c r="Q24" s="84"/>
      <c r="R24" s="30"/>
    </row>
    <row r="25" spans="1:18" ht="16.149999999999999" customHeight="1" x14ac:dyDescent="0.2">
      <c r="A25" s="298"/>
      <c r="B25" s="30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30"/>
      <c r="P25" s="84"/>
      <c r="Q25" s="84"/>
      <c r="R25" s="30"/>
    </row>
    <row r="26" spans="1:18" ht="16.149999999999999" customHeight="1" x14ac:dyDescent="0.2">
      <c r="A26" s="298"/>
      <c r="B26" s="30" t="s">
        <v>54</v>
      </c>
      <c r="C26" s="286" t="s">
        <v>64</v>
      </c>
      <c r="D26" s="286"/>
      <c r="E26" s="287" t="s">
        <v>65</v>
      </c>
      <c r="F26" s="287"/>
      <c r="G26" s="288" t="s">
        <v>66</v>
      </c>
      <c r="H26" s="288"/>
      <c r="I26" s="289" t="s">
        <v>67</v>
      </c>
      <c r="J26" s="289"/>
      <c r="K26" s="290" t="s">
        <v>68</v>
      </c>
      <c r="L26" s="290"/>
      <c r="M26" s="291" t="s">
        <v>69</v>
      </c>
      <c r="N26" s="291"/>
      <c r="O26" s="30"/>
      <c r="P26" s="84"/>
      <c r="Q26" s="84"/>
      <c r="R26" s="30"/>
    </row>
    <row r="27" spans="1:18" ht="16.149999999999999" customHeight="1" thickBot="1" x14ac:dyDescent="0.25">
      <c r="A27" s="298"/>
      <c r="B27" s="30"/>
      <c r="C27" s="292">
        <f>C24+N24*0.5+D24*0.5</f>
        <v>8.1871345029239755E-3</v>
      </c>
      <c r="D27" s="292"/>
      <c r="E27" s="293">
        <f>E24+D24*0.5+F24*0.5</f>
        <v>0.10376868096166342</v>
      </c>
      <c r="F27" s="293"/>
      <c r="G27" s="294">
        <f>G24+F24*0.5+H24*0.5</f>
        <v>0.27238466536712147</v>
      </c>
      <c r="H27" s="294"/>
      <c r="I27" s="295">
        <f>I24+H24*0.5+J24*0.5</f>
        <v>0.32664067576348277</v>
      </c>
      <c r="J27" s="295"/>
      <c r="K27" s="296">
        <f>K24+J24*0.5+L24*0.5</f>
        <v>0.22858999350227419</v>
      </c>
      <c r="L27" s="296"/>
      <c r="M27" s="285">
        <f>M24+L24*0.5+N24*0.5</f>
        <v>6.042884990253411E-2</v>
      </c>
      <c r="N27" s="285"/>
      <c r="O27" s="30"/>
      <c r="P27" s="84" t="s">
        <v>61</v>
      </c>
      <c r="Q27" s="84" t="s">
        <v>62</v>
      </c>
      <c r="R27" s="30"/>
    </row>
    <row r="28" spans="1:18" ht="16.149999999999999" customHeight="1" x14ac:dyDescent="0.2">
      <c r="A28" s="298"/>
      <c r="B28" s="282" t="s">
        <v>114</v>
      </c>
      <c r="C28" s="278">
        <f>ROUNDDOWN(B30*C27,0)</f>
        <v>0</v>
      </c>
      <c r="D28" s="278"/>
      <c r="E28" s="278">
        <f>ROUNDDOWN(B30*E27,0)</f>
        <v>0</v>
      </c>
      <c r="F28" s="278"/>
      <c r="G28" s="278">
        <f>ROUNDDOWN(B30*G27,0)</f>
        <v>0</v>
      </c>
      <c r="H28" s="278"/>
      <c r="I28" s="278">
        <f>ROUNDDOWN(B30*I27,0)</f>
        <v>0</v>
      </c>
      <c r="J28" s="278"/>
      <c r="K28" s="278">
        <f>ROUNDDOWN(B30*K27,0)</f>
        <v>0</v>
      </c>
      <c r="L28" s="278"/>
      <c r="M28" s="278">
        <f>ROUNDDOWN(B30*M27,0)</f>
        <v>0</v>
      </c>
      <c r="N28" s="279"/>
      <c r="O28" s="78"/>
      <c r="P28" s="102">
        <f>SUM(C28:N28)</f>
        <v>0</v>
      </c>
      <c r="Q28" s="103">
        <f>B30-P28</f>
        <v>0</v>
      </c>
      <c r="R28" s="30"/>
    </row>
    <row r="29" spans="1:18" ht="16.149999999999999" customHeight="1" x14ac:dyDescent="0.2">
      <c r="A29" s="298"/>
      <c r="B29" s="283"/>
      <c r="C29" s="284"/>
      <c r="D29" s="284"/>
      <c r="E29" s="280">
        <f>IF(Q28=0,0,IF(Q28=1,0,IF(Q28=2,0,IF(Q28=3,0,IF(Q28=4,1,IF(Q28=5,1))))))</f>
        <v>0</v>
      </c>
      <c r="F29" s="280"/>
      <c r="G29" s="280">
        <f>IF(Q28=0,0,IF(Q28=1,0,IF(Q28=2,1,IF(Q28=3,1,IF(Q28=4,1,IF(Q28=5,1))))))</f>
        <v>0</v>
      </c>
      <c r="H29" s="280"/>
      <c r="I29" s="280">
        <f>IF(Q28=0,0,IF(Q28=1,1,IF(Q28=2,1,IF(Q28=3,1,IF(Q28=4,1,IF(Q28=5,1))))))</f>
        <v>0</v>
      </c>
      <c r="J29" s="280"/>
      <c r="K29" s="280">
        <f>IF(Q28=0,0,IF(Q28=1,0,IF(Q28=2,0,IF(Q28=3,1,IF(Q28=4,1,IF(Q28=5,1))))))</f>
        <v>0</v>
      </c>
      <c r="L29" s="280"/>
      <c r="M29" s="280">
        <f>IF(Q28=0,0,IF(Q28=1,0,IF(Q28=2,0,IF(Q28=3,0,IF(Q28=4,0,IF(Q28=5,1))))))</f>
        <v>0</v>
      </c>
      <c r="N29" s="281"/>
      <c r="O29" s="78"/>
      <c r="P29" s="104"/>
      <c r="Q29" s="105"/>
      <c r="R29" s="30"/>
    </row>
    <row r="30" spans="1:18" ht="16.149999999999999" customHeight="1" thickBot="1" x14ac:dyDescent="0.35">
      <c r="A30" s="298"/>
      <c r="B30" s="101">
        <f>MAWA.ETWU!G37</f>
        <v>0</v>
      </c>
      <c r="C30" s="276">
        <f>SUM(C28:D29)</f>
        <v>0</v>
      </c>
      <c r="D30" s="276"/>
      <c r="E30" s="276">
        <f t="shared" ref="E30" si="4">SUM(E28:F29)</f>
        <v>0</v>
      </c>
      <c r="F30" s="276"/>
      <c r="G30" s="276">
        <f t="shared" ref="G30" si="5">SUM(G28:H29)</f>
        <v>0</v>
      </c>
      <c r="H30" s="276"/>
      <c r="I30" s="276">
        <f t="shared" ref="I30" si="6">SUM(I28:J29)</f>
        <v>0</v>
      </c>
      <c r="J30" s="276"/>
      <c r="K30" s="276">
        <f t="shared" ref="K30" si="7">SUM(K28:L29)</f>
        <v>0</v>
      </c>
      <c r="L30" s="276"/>
      <c r="M30" s="276">
        <f t="shared" ref="M30" si="8">SUM(M28:N29)</f>
        <v>0</v>
      </c>
      <c r="N30" s="277"/>
      <c r="O30" s="78"/>
      <c r="P30" s="106">
        <f>SUM(C30:N30)</f>
        <v>0</v>
      </c>
      <c r="Q30" s="107">
        <f>B30-P30</f>
        <v>0</v>
      </c>
      <c r="R30" s="30"/>
    </row>
    <row r="31" spans="1:18" ht="16.149999999999999" customHeight="1" x14ac:dyDescent="0.2">
      <c r="A31" s="298"/>
      <c r="B31" s="271" t="s">
        <v>115</v>
      </c>
      <c r="C31" s="109">
        <f>C24*0.5+N24*0.5</f>
        <v>0</v>
      </c>
      <c r="D31" s="109">
        <f>D24*0.5+C24*0.5</f>
        <v>8.1871345029239755E-3</v>
      </c>
      <c r="E31" s="109">
        <f>E24*0.5+D24*0.5</f>
        <v>3.1124106562703053E-2</v>
      </c>
      <c r="F31" s="109">
        <f>F24*0.5+E24*0.5</f>
        <v>7.2644574398960354E-2</v>
      </c>
      <c r="G31" s="109">
        <f t="shared" ref="G31:N31" si="9">G24*0.5+F24*0.5</f>
        <v>0.12059779077322937</v>
      </c>
      <c r="H31" s="109">
        <f t="shared" si="9"/>
        <v>0.15178687459389212</v>
      </c>
      <c r="I31" s="109">
        <f t="shared" si="9"/>
        <v>0.16549707602339181</v>
      </c>
      <c r="J31" s="109">
        <f t="shared" si="9"/>
        <v>0.16114359974009096</v>
      </c>
      <c r="K31" s="109">
        <f t="shared" si="9"/>
        <v>0.13502274204028589</v>
      </c>
      <c r="L31" s="109">
        <f t="shared" si="9"/>
        <v>9.3567251461988299E-2</v>
      </c>
      <c r="M31" s="109">
        <f t="shared" si="9"/>
        <v>4.7758284600389861E-2</v>
      </c>
      <c r="N31" s="110">
        <f t="shared" si="9"/>
        <v>1.2670565302144249E-2</v>
      </c>
      <c r="O31" s="78"/>
      <c r="P31" s="115"/>
      <c r="Q31" s="116"/>
      <c r="R31" s="30"/>
    </row>
    <row r="32" spans="1:18" ht="16.149999999999999" customHeight="1" x14ac:dyDescent="0.2">
      <c r="A32" s="298"/>
      <c r="B32" s="272"/>
      <c r="C32" s="111">
        <f>ROUNDDOWN(B34*C31,0)</f>
        <v>0</v>
      </c>
      <c r="D32" s="111">
        <f>ROUNDDOWN(B34*D31,0)</f>
        <v>0</v>
      </c>
      <c r="E32" s="111">
        <f>ROUNDDOWN(B34*E31,0)</f>
        <v>0</v>
      </c>
      <c r="F32" s="111">
        <f>ROUNDDOWN(B34*F31,0)</f>
        <v>0</v>
      </c>
      <c r="G32" s="111">
        <f>ROUNDDOWN(B34*G31,0)</f>
        <v>0</v>
      </c>
      <c r="H32" s="111">
        <f>ROUNDDOWN(B34*H31,0)</f>
        <v>0</v>
      </c>
      <c r="I32" s="111">
        <f>ROUNDDOWN(B34*I31,0)</f>
        <v>0</v>
      </c>
      <c r="J32" s="111">
        <f>ROUNDDOWN(B34*J31,0)</f>
        <v>0</v>
      </c>
      <c r="K32" s="111">
        <f>ROUNDDOWN(B34*K31,0)</f>
        <v>0</v>
      </c>
      <c r="L32" s="111">
        <f>ROUNDDOWN(B34*L31,0)</f>
        <v>0</v>
      </c>
      <c r="M32" s="111">
        <f>ROUNDDOWN(B34*M31,0)</f>
        <v>0</v>
      </c>
      <c r="N32" s="112">
        <f>ROUNDDOWN(B34*N31,0)</f>
        <v>0</v>
      </c>
      <c r="O32" s="78"/>
      <c r="P32" s="117">
        <f>SUM(C32:O32)</f>
        <v>0</v>
      </c>
      <c r="Q32" s="118">
        <f>B34-P32</f>
        <v>0</v>
      </c>
      <c r="R32" s="30"/>
    </row>
    <row r="33" spans="1:19" ht="16.149999999999999" customHeight="1" x14ac:dyDescent="0.2">
      <c r="A33" s="298"/>
      <c r="B33" s="273"/>
      <c r="C33" s="122"/>
      <c r="D33" s="122"/>
      <c r="E33" s="111">
        <f>IF(Q32=0,0,IF(Q32=1,0,IF(Q32=2,0,IF(Q32=3,0,IF(Q32=4,0,IF(Q32=5,0,IF(Q32=6,0,IF(Q32=7,0,IF(Q32=8,0,IF(Q32=9,1))))))))))</f>
        <v>0</v>
      </c>
      <c r="F33" s="111">
        <f>IF(Q32=0,0,IF(Q32=1,0,IF(Q32=2,0,IF(Q32=3,0,IF(Q32=4,0,IF(Q32=5,0,IF(Q32=6,0,IF(Q32=7,1,IF(Q32=8,1,IF(Q32=9,1))))))))))</f>
        <v>0</v>
      </c>
      <c r="G33" s="111">
        <f>IF(Q32=0,0,IF(Q32=1,0,IF(Q32=2,0,IF(Q32=3,0,IF(Q32=4,0,IF(Q32=5,1,IF(Q32=6,1,IF(Q32=7,1,IF(Q32=8,1,IF(Q32=9,1))))))))))</f>
        <v>0</v>
      </c>
      <c r="H33" s="111">
        <f>IF(Q32=0,0,IF(Q32=1,0,IF(Q32=2,0,IF(Q32=3,1,IF(Q32=4,1,IF(Q32=5,1,IF(Q32=6,1,IF(Q32=7,1,IF(Q32=8,1,IF(Q32=9,1))))))))))</f>
        <v>0</v>
      </c>
      <c r="I33" s="111">
        <f>IF(Q32=0,0,IF(Q32=1,1,IF(Q32=2,1,IF(Q32=3,1,IF(Q32=4,1,IF(Q32=5,1,IF(Q32=6,1,IF(Q32=7,1,IF(Q32=8,1,IF(Q32=9,1))))))))))</f>
        <v>0</v>
      </c>
      <c r="J33" s="111">
        <f>IF(Q32=0,0,IF(Q32=1,0,IF(Q32=2,1,IF(Q32=3,1,IF(Q32=4,1,IF(Q32=5,1,IF(Q32=6,1,IF(Q32=7,1,IF(Q32=8,1,IF(Q32=9,1))))))))))</f>
        <v>0</v>
      </c>
      <c r="K33" s="111">
        <f>IF(Q32=0,0,IF(Q32=1,0,IF(Q32=2,0,IF(Q32=3,0,IF(Q32=4,1,IF(Q32=5,1,IF(Q32=6,1,IF(Q32=7,1,IF(Q32=8,1,IF(Q32=9,1))))))))))</f>
        <v>0</v>
      </c>
      <c r="L33" s="111">
        <f>IF(Q32=0,0,IF(Q32=1,0,IF(Q32=2,0,IF(Q32=3,0,IF(Q32=4,0,IF(Q32=5,0,IF(Q32=6,1,IF(Q32=7,1,IF(Q32=8,1,IF(Q32=9,1))))))))))</f>
        <v>0</v>
      </c>
      <c r="M33" s="111">
        <f>IF(Q32=0,0,IF(Q32=1,0,IF(Q32=2,0,IF(Q32=3,0,IF(Q32=4,0,IF(Q32=5,0,IF(Q32=6,0,IF(Q32=7,0,IF(Q32=8,1,IF(Q32=9,1))))))))))</f>
        <v>0</v>
      </c>
      <c r="N33" s="123"/>
      <c r="O33" s="78"/>
      <c r="P33" s="117"/>
      <c r="Q33" s="118"/>
      <c r="R33" s="30"/>
    </row>
    <row r="34" spans="1:19" ht="16.149999999999999" customHeight="1" thickBot="1" x14ac:dyDescent="0.3">
      <c r="A34" s="298"/>
      <c r="B34" s="113">
        <f>'MAWA.ETWU Monthly'!G37</f>
        <v>0</v>
      </c>
      <c r="C34" s="114">
        <f>SUM(C32:C33)</f>
        <v>0</v>
      </c>
      <c r="D34" s="114">
        <f t="shared" ref="D34" si="10">SUM(D32:D33)</f>
        <v>0</v>
      </c>
      <c r="E34" s="114">
        <f t="shared" ref="E34" si="11">SUM(E32:E33)</f>
        <v>0</v>
      </c>
      <c r="F34" s="114">
        <f t="shared" ref="F34" si="12">SUM(F32:F33)</f>
        <v>0</v>
      </c>
      <c r="G34" s="114">
        <f t="shared" ref="G34" si="13">SUM(G32:G33)</f>
        <v>0</v>
      </c>
      <c r="H34" s="114">
        <f t="shared" ref="H34" si="14">SUM(H32:H33)</f>
        <v>0</v>
      </c>
      <c r="I34" s="114">
        <f t="shared" ref="I34" si="15">SUM(I32:I33)</f>
        <v>0</v>
      </c>
      <c r="J34" s="114">
        <f t="shared" ref="J34" si="16">SUM(J32:J33)</f>
        <v>0</v>
      </c>
      <c r="K34" s="114">
        <f t="shared" ref="K34" si="17">SUM(K32:K33)</f>
        <v>0</v>
      </c>
      <c r="L34" s="114">
        <f t="shared" ref="L34" si="18">SUM(L32:L33)</f>
        <v>0</v>
      </c>
      <c r="M34" s="114">
        <f t="shared" ref="M34" si="19">SUM(M32:M33)</f>
        <v>0</v>
      </c>
      <c r="N34" s="114">
        <f t="shared" ref="N34" si="20">SUM(N32:N33)</f>
        <v>0</v>
      </c>
      <c r="O34" s="78"/>
      <c r="P34" s="119">
        <f>SUM(C34:N34)</f>
        <v>0</v>
      </c>
      <c r="Q34" s="120">
        <f>B34-P34</f>
        <v>0</v>
      </c>
      <c r="R34" s="30"/>
    </row>
    <row r="35" spans="1:19" ht="16.149999999999999" customHeight="1" x14ac:dyDescent="0.2">
      <c r="A35" s="298"/>
      <c r="B35" s="30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30"/>
      <c r="P35" s="30"/>
      <c r="Q35" s="30"/>
      <c r="R35" s="30"/>
    </row>
    <row r="36" spans="1:19" ht="16.149999999999999" customHeight="1" x14ac:dyDescent="0.2">
      <c r="A36" s="298"/>
      <c r="B36" s="30"/>
      <c r="C36" s="275" t="s">
        <v>70</v>
      </c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30"/>
      <c r="P36" s="30"/>
      <c r="Q36" s="30"/>
      <c r="R36" s="30"/>
    </row>
    <row r="37" spans="1:19" ht="16.149999999999999" customHeight="1" x14ac:dyDescent="0.2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9" ht="16.149999999999999" customHeight="1" x14ac:dyDescent="0.2">
      <c r="A38" s="1"/>
      <c r="B38" s="92"/>
      <c r="C38" s="96"/>
      <c r="D38" s="97"/>
      <c r="E38" s="96"/>
      <c r="F38" s="97"/>
      <c r="G38" s="96"/>
      <c r="H38" s="97"/>
      <c r="I38" s="96"/>
      <c r="J38" s="97"/>
      <c r="K38" s="96"/>
      <c r="L38" s="97"/>
      <c r="M38" s="96"/>
      <c r="N38" s="97"/>
      <c r="O38" s="1"/>
      <c r="P38" s="1"/>
      <c r="Q38" s="1"/>
      <c r="R38" s="1"/>
      <c r="S38" s="1"/>
    </row>
    <row r="39" spans="1:19" ht="16.149999999999999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6.149999999999999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6.149999999999999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6.149999999999999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6.149999999999999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6.149999999999999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6.149999999999999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6.149999999999999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6.149999999999999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6.149999999999999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6.149999999999999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6.149999999999999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6.149999999999999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6.149999999999999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6.149999999999999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6.149999999999999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6.149999999999999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6.149999999999999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6.14999999999999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</sheetData>
  <sheetProtection password="CC45" sheet="1" objects="1" scenarios="1"/>
  <mergeCells count="69">
    <mergeCell ref="M26:N26"/>
    <mergeCell ref="C27:D27"/>
    <mergeCell ref="E27:F27"/>
    <mergeCell ref="A1:A36"/>
    <mergeCell ref="D1:E1"/>
    <mergeCell ref="C9:D9"/>
    <mergeCell ref="E9:F9"/>
    <mergeCell ref="G9:H9"/>
    <mergeCell ref="B11:B12"/>
    <mergeCell ref="C11:D11"/>
    <mergeCell ref="E11:F11"/>
    <mergeCell ref="G11:H11"/>
    <mergeCell ref="C19:N19"/>
    <mergeCell ref="C2:N2"/>
    <mergeCell ref="M27:N27"/>
    <mergeCell ref="C26:D26"/>
    <mergeCell ref="E26:F26"/>
    <mergeCell ref="G26:H26"/>
    <mergeCell ref="I26:J26"/>
    <mergeCell ref="K9:L9"/>
    <mergeCell ref="K26:L26"/>
    <mergeCell ref="M9:N9"/>
    <mergeCell ref="C10:D10"/>
    <mergeCell ref="E10:F10"/>
    <mergeCell ref="G10:H10"/>
    <mergeCell ref="I10:J10"/>
    <mergeCell ref="K10:L10"/>
    <mergeCell ref="M10:N10"/>
    <mergeCell ref="I9:J9"/>
    <mergeCell ref="C13:D13"/>
    <mergeCell ref="E13:F13"/>
    <mergeCell ref="G13:H13"/>
    <mergeCell ref="I13:J13"/>
    <mergeCell ref="K13:L13"/>
    <mergeCell ref="M13:N13"/>
    <mergeCell ref="I11:J11"/>
    <mergeCell ref="K11:L11"/>
    <mergeCell ref="M11:N11"/>
    <mergeCell ref="E12:F12"/>
    <mergeCell ref="G12:H12"/>
    <mergeCell ref="I12:J12"/>
    <mergeCell ref="K12:L12"/>
    <mergeCell ref="M12:N12"/>
    <mergeCell ref="B28:B29"/>
    <mergeCell ref="C28:D28"/>
    <mergeCell ref="E28:F28"/>
    <mergeCell ref="G28:H28"/>
    <mergeCell ref="I28:J28"/>
    <mergeCell ref="M29:N29"/>
    <mergeCell ref="K28:L28"/>
    <mergeCell ref="G27:H27"/>
    <mergeCell ref="I27:J27"/>
    <mergeCell ref="K27:L27"/>
    <mergeCell ref="B14:B16"/>
    <mergeCell ref="B31:B33"/>
    <mergeCell ref="C12:D12"/>
    <mergeCell ref="C36:N36"/>
    <mergeCell ref="C30:D30"/>
    <mergeCell ref="E30:F30"/>
    <mergeCell ref="G30:H30"/>
    <mergeCell ref="I30:J30"/>
    <mergeCell ref="K30:L30"/>
    <mergeCell ref="M30:N30"/>
    <mergeCell ref="M28:N28"/>
    <mergeCell ref="C29:D29"/>
    <mergeCell ref="E29:F29"/>
    <mergeCell ref="G29:H29"/>
    <mergeCell ref="I29:J29"/>
    <mergeCell ref="K29:L29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2.75" x14ac:dyDescent="0.2"/>
  <cols>
    <col min="1" max="1" width="19" bestFit="1" customWidth="1"/>
    <col min="2" max="3" width="10.28515625" style="36" bestFit="1" customWidth="1"/>
    <col min="4" max="4" width="32.7109375" style="36" bestFit="1" customWidth="1"/>
  </cols>
  <sheetData>
    <row r="1" spans="1:4" ht="18" x14ac:dyDescent="0.2">
      <c r="A1" s="58" t="s">
        <v>86</v>
      </c>
      <c r="B1" s="59" t="s">
        <v>87</v>
      </c>
      <c r="C1" s="59" t="s">
        <v>90</v>
      </c>
      <c r="D1" s="59" t="s">
        <v>91</v>
      </c>
    </row>
    <row r="2" spans="1:4" ht="15" x14ac:dyDescent="0.2">
      <c r="A2" s="69" t="s">
        <v>83</v>
      </c>
      <c r="B2" s="70">
        <v>94901</v>
      </c>
      <c r="C2" s="70">
        <v>5</v>
      </c>
      <c r="D2" s="71" t="s">
        <v>92</v>
      </c>
    </row>
    <row r="3" spans="1:4" ht="15" x14ac:dyDescent="0.2">
      <c r="A3" s="69" t="s">
        <v>83</v>
      </c>
      <c r="B3" s="70">
        <v>94903</v>
      </c>
      <c r="C3" s="70">
        <v>5</v>
      </c>
      <c r="D3" s="71" t="s">
        <v>92</v>
      </c>
    </row>
    <row r="4" spans="1:4" ht="15" x14ac:dyDescent="0.2">
      <c r="A4" s="63" t="s">
        <v>76</v>
      </c>
      <c r="B4" s="64">
        <v>94904</v>
      </c>
      <c r="C4" s="64">
        <v>4</v>
      </c>
      <c r="D4" s="67" t="s">
        <v>93</v>
      </c>
    </row>
    <row r="5" spans="1:4" ht="15" x14ac:dyDescent="0.2">
      <c r="A5" s="61" t="s">
        <v>72</v>
      </c>
      <c r="B5" s="62">
        <v>94920</v>
      </c>
      <c r="C5" s="62">
        <v>1</v>
      </c>
      <c r="D5" s="65" t="s">
        <v>92</v>
      </c>
    </row>
    <row r="6" spans="1:4" ht="15" x14ac:dyDescent="0.2">
      <c r="A6" s="63" t="s">
        <v>73</v>
      </c>
      <c r="B6" s="64">
        <v>94925</v>
      </c>
      <c r="C6" s="64">
        <v>4</v>
      </c>
      <c r="D6" s="67" t="s">
        <v>93</v>
      </c>
    </row>
    <row r="7" spans="1:4" ht="15" x14ac:dyDescent="0.2">
      <c r="A7" s="63" t="s">
        <v>74</v>
      </c>
      <c r="B7" s="64">
        <v>94930</v>
      </c>
      <c r="C7" s="64">
        <v>4</v>
      </c>
      <c r="D7" s="67" t="s">
        <v>93</v>
      </c>
    </row>
    <row r="8" spans="1:4" ht="15" x14ac:dyDescent="0.2">
      <c r="A8" s="63" t="s">
        <v>75</v>
      </c>
      <c r="B8" s="64">
        <v>94933</v>
      </c>
      <c r="C8" s="64">
        <v>4</v>
      </c>
      <c r="D8" s="67" t="s">
        <v>93</v>
      </c>
    </row>
    <row r="9" spans="1:4" ht="15" x14ac:dyDescent="0.2">
      <c r="A9" s="63" t="s">
        <v>77</v>
      </c>
      <c r="B9" s="64">
        <v>94939</v>
      </c>
      <c r="C9" s="64">
        <v>4</v>
      </c>
      <c r="D9" s="67" t="s">
        <v>93</v>
      </c>
    </row>
    <row r="10" spans="1:4" ht="15" x14ac:dyDescent="0.2">
      <c r="A10" s="61" t="s">
        <v>78</v>
      </c>
      <c r="B10" s="62">
        <v>94941</v>
      </c>
      <c r="C10" s="62">
        <v>1</v>
      </c>
      <c r="D10" s="66" t="s">
        <v>93</v>
      </c>
    </row>
    <row r="11" spans="1:4" ht="15" x14ac:dyDescent="0.2">
      <c r="A11" s="63" t="s">
        <v>88</v>
      </c>
      <c r="B11" s="64">
        <v>94946</v>
      </c>
      <c r="C11" s="64">
        <v>4</v>
      </c>
      <c r="D11" s="67" t="s">
        <v>93</v>
      </c>
    </row>
    <row r="12" spans="1:4" ht="15" x14ac:dyDescent="0.2">
      <c r="A12" s="63" t="s">
        <v>79</v>
      </c>
      <c r="B12" s="64">
        <v>94957</v>
      </c>
      <c r="C12" s="64">
        <v>4</v>
      </c>
      <c r="D12" s="67" t="s">
        <v>93</v>
      </c>
    </row>
    <row r="13" spans="1:4" ht="15" x14ac:dyDescent="0.2">
      <c r="A13" s="63" t="s">
        <v>80</v>
      </c>
      <c r="B13" s="64">
        <v>94960</v>
      </c>
      <c r="C13" s="64">
        <v>4</v>
      </c>
      <c r="D13" s="67" t="s">
        <v>93</v>
      </c>
    </row>
    <row r="14" spans="1:4" ht="15" x14ac:dyDescent="0.2">
      <c r="A14" s="63" t="s">
        <v>81</v>
      </c>
      <c r="B14" s="64">
        <v>94963</v>
      </c>
      <c r="C14" s="64">
        <v>4</v>
      </c>
      <c r="D14" s="67" t="s">
        <v>93</v>
      </c>
    </row>
    <row r="15" spans="1:4" ht="15" x14ac:dyDescent="0.2">
      <c r="A15" s="63" t="s">
        <v>82</v>
      </c>
      <c r="B15" s="64">
        <v>94964</v>
      </c>
      <c r="C15" s="64">
        <v>4</v>
      </c>
      <c r="D15" s="68" t="s">
        <v>92</v>
      </c>
    </row>
    <row r="16" spans="1:4" ht="15" x14ac:dyDescent="0.2">
      <c r="A16" s="61" t="s">
        <v>84</v>
      </c>
      <c r="B16" s="62">
        <v>94965</v>
      </c>
      <c r="C16" s="62">
        <v>1</v>
      </c>
      <c r="D16" s="65" t="s">
        <v>92</v>
      </c>
    </row>
    <row r="17" spans="1:4" ht="15" x14ac:dyDescent="0.2">
      <c r="A17" s="63" t="s">
        <v>85</v>
      </c>
      <c r="B17" s="64">
        <v>94973</v>
      </c>
      <c r="C17" s="64">
        <v>4</v>
      </c>
      <c r="D17" s="67" t="s">
        <v>93</v>
      </c>
    </row>
    <row r="20" spans="1:4" x14ac:dyDescent="0.2">
      <c r="A20" s="60" t="s">
        <v>94</v>
      </c>
    </row>
  </sheetData>
  <sheetProtection password="CC45" sheet="1" objects="1" scenarios="1"/>
  <sortState ref="A1:D19">
    <sortCondition ref="B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K95"/>
  <sheetViews>
    <sheetView workbookViewId="0">
      <selection activeCell="K29" sqref="K29:O29"/>
    </sheetView>
  </sheetViews>
  <sheetFormatPr defaultRowHeight="12.75" x14ac:dyDescent="0.2"/>
  <cols>
    <col min="1" max="1" width="2" customWidth="1"/>
    <col min="2" max="5" width="3.28515625" customWidth="1"/>
    <col min="6" max="32" width="2.7109375" customWidth="1"/>
    <col min="33" max="33" width="2.7109375" style="1" customWidth="1"/>
    <col min="34" max="35" width="6.28515625" customWidth="1"/>
  </cols>
  <sheetData>
    <row r="1" spans="1:37" ht="8.4499999999999993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4"/>
      <c r="AH1" s="26"/>
      <c r="AI1" s="26"/>
      <c r="AJ1" s="26"/>
      <c r="AK1" s="26"/>
    </row>
    <row r="2" spans="1:37" ht="10.9" customHeight="1" x14ac:dyDescent="0.2">
      <c r="A2" s="131"/>
      <c r="B2" s="22"/>
      <c r="C2" s="304" t="s">
        <v>0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2"/>
      <c r="AD2" s="131"/>
      <c r="AE2" s="131"/>
      <c r="AF2" s="132"/>
      <c r="AG2" s="133"/>
      <c r="AH2" s="136"/>
      <c r="AI2" s="136"/>
      <c r="AJ2" s="26"/>
      <c r="AK2" s="26"/>
    </row>
    <row r="3" spans="1:37" ht="10.9" customHeight="1" x14ac:dyDescent="0.2">
      <c r="A3" s="131"/>
      <c r="B3" s="7"/>
      <c r="C3" s="7"/>
      <c r="D3" s="3"/>
      <c r="E3" s="3"/>
      <c r="F3" s="3"/>
      <c r="G3" s="3"/>
      <c r="H3" s="3"/>
      <c r="I3" s="3"/>
      <c r="J3" s="3"/>
      <c r="K3" s="7"/>
      <c r="L3" s="7"/>
      <c r="M3" s="7"/>
      <c r="N3" s="305"/>
      <c r="O3" s="305"/>
      <c r="P3" s="7"/>
      <c r="Q3" s="7"/>
      <c r="R3" s="7"/>
      <c r="S3" s="7"/>
      <c r="T3" s="7"/>
      <c r="U3" s="7"/>
      <c r="V3" s="7"/>
      <c r="W3" s="24"/>
      <c r="X3" s="24"/>
      <c r="Y3" s="24"/>
      <c r="Z3" s="24"/>
      <c r="AA3" s="7"/>
      <c r="AB3" s="22"/>
      <c r="AC3" s="22"/>
      <c r="AD3" s="131"/>
      <c r="AE3" s="131"/>
      <c r="AF3" s="132"/>
      <c r="AG3" s="135"/>
      <c r="AH3" s="140">
        <v>94901</v>
      </c>
      <c r="AI3" s="141">
        <v>37.33</v>
      </c>
      <c r="AJ3" s="26"/>
      <c r="AK3" s="26"/>
    </row>
    <row r="4" spans="1:37" ht="10.9" customHeight="1" x14ac:dyDescent="0.2">
      <c r="A4" s="131"/>
      <c r="B4" s="7"/>
      <c r="C4" s="7"/>
      <c r="D4" s="7"/>
      <c r="E4" s="7"/>
      <c r="F4" s="2"/>
      <c r="G4" s="25"/>
      <c r="H4" s="7"/>
      <c r="I4" s="2"/>
      <c r="J4" s="4" t="s">
        <v>16</v>
      </c>
      <c r="K4" s="307"/>
      <c r="L4" s="355"/>
      <c r="M4" s="308"/>
      <c r="N4" s="306">
        <f>IF(K4=94920,26.33,IF(K4=94941,26.33,IF(K4=94965,26.33,IF(K4=94904,40.03,IF(K4=94925,40.03,IF(K4=94930,40.03,IF(K4=94939,40.03,IF(K4=94946,40.03, 0))))))))+IF(K4=94933,40.03,IF(K4=94957,40.03,IF(K4=94960,40.03,IF(K4=94963,40.03,IF(K4=94964,40.03,IF(K4=94973,40.03,IF(K4=94901,37.33,IF(K4=94903,37.33, 0))))))))</f>
        <v>0</v>
      </c>
      <c r="O4" s="306"/>
      <c r="P4" s="2" t="s">
        <v>30</v>
      </c>
      <c r="Q4" s="22"/>
      <c r="R4" s="22"/>
      <c r="S4" s="26"/>
      <c r="T4" s="307"/>
      <c r="U4" s="308"/>
      <c r="V4" s="2"/>
      <c r="W4" s="24"/>
      <c r="X4" s="130" t="s">
        <v>31</v>
      </c>
      <c r="Y4" s="24"/>
      <c r="Z4" s="24"/>
      <c r="AA4" s="7"/>
      <c r="AB4" s="22"/>
      <c r="AC4" s="22"/>
      <c r="AD4" s="131"/>
      <c r="AE4" s="131"/>
      <c r="AF4" s="132"/>
      <c r="AG4" s="135"/>
      <c r="AH4" s="140">
        <v>94903</v>
      </c>
      <c r="AI4" s="141">
        <v>37.33</v>
      </c>
      <c r="AJ4" s="26"/>
      <c r="AK4" s="26"/>
    </row>
    <row r="5" spans="1:37" ht="10.9" customHeight="1" x14ac:dyDescent="0.2">
      <c r="A5" s="13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4"/>
      <c r="O5" s="24"/>
      <c r="P5" s="7"/>
      <c r="Q5" s="7"/>
      <c r="R5" s="7"/>
      <c r="S5" s="7"/>
      <c r="T5" s="7"/>
      <c r="U5" s="7"/>
      <c r="V5" s="7"/>
      <c r="W5" s="24"/>
      <c r="X5" s="130" t="s">
        <v>32</v>
      </c>
      <c r="Y5" s="24"/>
      <c r="Z5" s="24"/>
      <c r="AA5" s="7"/>
      <c r="AB5" s="22"/>
      <c r="AC5" s="22"/>
      <c r="AD5" s="131"/>
      <c r="AE5" s="131"/>
      <c r="AF5" s="132"/>
      <c r="AG5" s="135"/>
      <c r="AH5" s="140">
        <v>94904</v>
      </c>
      <c r="AI5" s="141">
        <v>40.03</v>
      </c>
      <c r="AJ5" s="26"/>
      <c r="AK5" s="26"/>
    </row>
    <row r="6" spans="1:37" ht="10.9" customHeight="1" x14ac:dyDescent="0.2">
      <c r="A6" s="131"/>
      <c r="B6" s="22"/>
      <c r="C6" s="5" t="s">
        <v>11</v>
      </c>
      <c r="D6" s="5"/>
      <c r="E6" s="5"/>
      <c r="F6" s="6"/>
      <c r="G6" s="6"/>
      <c r="H6" s="6"/>
      <c r="I6" s="7"/>
      <c r="J6" s="7"/>
      <c r="K6" s="7"/>
      <c r="L6" s="7"/>
      <c r="M6" s="8"/>
      <c r="N6" s="7"/>
      <c r="O6" s="7"/>
      <c r="P6" s="7"/>
      <c r="Q6" s="7"/>
      <c r="R6" s="7"/>
      <c r="S6" s="7"/>
      <c r="T6" s="7"/>
      <c r="U6" s="7"/>
      <c r="V6" s="7"/>
      <c r="W6" s="24"/>
      <c r="X6" s="24"/>
      <c r="Y6" s="24"/>
      <c r="Z6" s="24"/>
      <c r="AA6" s="7"/>
      <c r="AB6" s="7"/>
      <c r="AC6" s="22"/>
      <c r="AD6" s="131"/>
      <c r="AE6" s="131"/>
      <c r="AF6" s="132"/>
      <c r="AG6" s="135"/>
      <c r="AH6" s="140">
        <v>94920</v>
      </c>
      <c r="AI6" s="141">
        <v>26.33</v>
      </c>
      <c r="AJ6" s="26"/>
      <c r="AK6" s="26"/>
    </row>
    <row r="7" spans="1:37" ht="10.9" customHeight="1" x14ac:dyDescent="0.2">
      <c r="A7" s="131"/>
      <c r="B7" s="22"/>
      <c r="C7" s="9" t="s">
        <v>12</v>
      </c>
      <c r="D7" s="9"/>
      <c r="E7" s="9"/>
      <c r="F7" s="9"/>
      <c r="G7" s="9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22"/>
      <c r="AD7" s="131"/>
      <c r="AE7" s="131"/>
      <c r="AF7" s="132"/>
      <c r="AG7" s="135"/>
      <c r="AH7" s="140">
        <v>94925</v>
      </c>
      <c r="AI7" s="141">
        <v>40.03</v>
      </c>
      <c r="AJ7" s="26"/>
      <c r="AK7" s="26"/>
    </row>
    <row r="8" spans="1:37" ht="10.9" customHeight="1" x14ac:dyDescent="0.2">
      <c r="A8" s="131"/>
      <c r="B8" s="22"/>
      <c r="C8" s="5" t="s">
        <v>18</v>
      </c>
      <c r="D8" s="5"/>
      <c r="E8" s="5"/>
      <c r="F8" s="5"/>
      <c r="G8" s="5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22"/>
      <c r="AD8" s="131"/>
      <c r="AE8" s="131"/>
      <c r="AF8" s="132"/>
      <c r="AG8" s="135"/>
      <c r="AH8" s="140">
        <v>94930</v>
      </c>
      <c r="AI8" s="141">
        <v>40.03</v>
      </c>
      <c r="AJ8" s="26"/>
      <c r="AK8" s="26"/>
    </row>
    <row r="9" spans="1:37" ht="10.9" customHeight="1" x14ac:dyDescent="0.2">
      <c r="A9" s="131"/>
      <c r="B9" s="22"/>
      <c r="C9" s="72" t="s">
        <v>19</v>
      </c>
      <c r="D9" s="72"/>
      <c r="E9" s="72"/>
      <c r="F9" s="72"/>
      <c r="G9" s="72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22"/>
      <c r="AD9" s="131"/>
      <c r="AE9" s="131"/>
      <c r="AF9" s="132"/>
      <c r="AG9" s="135"/>
      <c r="AH9" s="140">
        <v>94933</v>
      </c>
      <c r="AI9" s="141">
        <v>40.03</v>
      </c>
      <c r="AJ9" s="26"/>
      <c r="AK9" s="26"/>
    </row>
    <row r="10" spans="1:37" ht="10.9" customHeight="1" x14ac:dyDescent="0.2">
      <c r="A10" s="131"/>
      <c r="B10" s="22"/>
      <c r="C10" s="74" t="s">
        <v>35</v>
      </c>
      <c r="D10" s="73"/>
      <c r="E10" s="73"/>
      <c r="F10" s="73"/>
      <c r="G10" s="73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22"/>
      <c r="AD10" s="131"/>
      <c r="AE10" s="131"/>
      <c r="AF10" s="132"/>
      <c r="AG10" s="135"/>
      <c r="AH10" s="140">
        <v>94939</v>
      </c>
      <c r="AI10" s="141">
        <v>40.03</v>
      </c>
      <c r="AJ10" s="26"/>
      <c r="AK10" s="26"/>
    </row>
    <row r="11" spans="1:37" ht="10.9" customHeight="1" x14ac:dyDescent="0.2">
      <c r="A11" s="131"/>
      <c r="B11" s="22"/>
      <c r="C11" s="10" t="s">
        <v>36</v>
      </c>
      <c r="D11" s="10"/>
      <c r="E11" s="10"/>
      <c r="F11" s="10"/>
      <c r="G11" s="10"/>
      <c r="H11" s="345">
        <f ca="1">TODAY()</f>
        <v>44137</v>
      </c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22"/>
      <c r="AD11" s="131"/>
      <c r="AE11" s="131"/>
      <c r="AF11" s="132"/>
      <c r="AG11" s="135"/>
      <c r="AH11" s="140">
        <v>94941</v>
      </c>
      <c r="AI11" s="141">
        <v>26.33</v>
      </c>
      <c r="AJ11" s="26"/>
      <c r="AK11" s="26"/>
    </row>
    <row r="12" spans="1:37" ht="10.9" customHeight="1" x14ac:dyDescent="0.2">
      <c r="A12" s="131"/>
      <c r="B12" s="7"/>
      <c r="C12" s="11"/>
      <c r="D12" s="20"/>
      <c r="E12" s="20"/>
      <c r="F12" s="20"/>
      <c r="G12" s="20"/>
      <c r="H12" s="20"/>
      <c r="I12" s="20"/>
      <c r="J12" s="20"/>
      <c r="K12" s="8"/>
      <c r="L12" s="8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22"/>
      <c r="AC12" s="22"/>
      <c r="AD12" s="131"/>
      <c r="AE12" s="131"/>
      <c r="AF12" s="132"/>
      <c r="AG12" s="135"/>
      <c r="AH12" s="140">
        <v>94946</v>
      </c>
      <c r="AI12" s="141">
        <v>40.03</v>
      </c>
      <c r="AJ12" s="26"/>
      <c r="AK12" s="26"/>
    </row>
    <row r="13" spans="1:37" ht="10.9" customHeight="1" x14ac:dyDescent="0.2">
      <c r="A13" s="131"/>
      <c r="B13" s="12"/>
      <c r="C13" s="369" t="s">
        <v>1</v>
      </c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1"/>
      <c r="AC13" s="22"/>
      <c r="AD13" s="131"/>
      <c r="AE13" s="131"/>
      <c r="AF13" s="132"/>
      <c r="AG13" s="135"/>
      <c r="AH13" s="140">
        <v>94957</v>
      </c>
      <c r="AI13" s="141">
        <v>40.03</v>
      </c>
      <c r="AJ13" s="26"/>
      <c r="AK13" s="26"/>
    </row>
    <row r="14" spans="1:37" ht="10.9" customHeight="1" x14ac:dyDescent="0.2">
      <c r="A14" s="131"/>
      <c r="B14" s="7"/>
      <c r="C14" s="11"/>
      <c r="D14" s="20"/>
      <c r="E14" s="20"/>
      <c r="F14" s="20"/>
      <c r="G14" s="20"/>
      <c r="H14" s="20"/>
      <c r="I14" s="20"/>
      <c r="J14" s="20"/>
      <c r="K14" s="8"/>
      <c r="L14" s="8"/>
      <c r="M14" s="7"/>
      <c r="N14" s="7"/>
      <c r="O14" s="7"/>
      <c r="P14" s="7"/>
      <c r="Q14" s="7"/>
      <c r="R14" s="24"/>
      <c r="S14" s="24"/>
      <c r="T14" s="124" t="s">
        <v>33</v>
      </c>
      <c r="U14" s="124"/>
      <c r="V14" s="124"/>
      <c r="W14" s="124" t="s">
        <v>34</v>
      </c>
      <c r="X14" s="124"/>
      <c r="Y14" s="124"/>
      <c r="Z14" s="24"/>
      <c r="AA14" s="24"/>
      <c r="AB14" s="31"/>
      <c r="AC14" s="22"/>
      <c r="AD14" s="131"/>
      <c r="AE14" s="131"/>
      <c r="AF14" s="132"/>
      <c r="AG14" s="135"/>
      <c r="AH14" s="140">
        <v>94960</v>
      </c>
      <c r="AI14" s="141">
        <v>40.03</v>
      </c>
      <c r="AJ14" s="26"/>
      <c r="AK14" s="26"/>
    </row>
    <row r="15" spans="1:37" ht="10.9" customHeight="1" x14ac:dyDescent="0.2">
      <c r="A15" s="131"/>
      <c r="B15" s="7"/>
      <c r="C15" s="13" t="s">
        <v>21</v>
      </c>
      <c r="D15" s="21"/>
      <c r="E15" s="20"/>
      <c r="F15" s="20"/>
      <c r="G15" s="20"/>
      <c r="H15" s="20"/>
      <c r="I15" s="22"/>
      <c r="J15" s="22"/>
      <c r="K15" s="340">
        <v>0</v>
      </c>
      <c r="L15" s="341"/>
      <c r="M15" s="341"/>
      <c r="N15" s="341"/>
      <c r="O15" s="342"/>
      <c r="P15" s="7" t="s">
        <v>24</v>
      </c>
      <c r="Q15" s="7"/>
      <c r="R15" s="24"/>
      <c r="S15" s="24"/>
      <c r="T15" s="346">
        <f>K15*0.55</f>
        <v>0</v>
      </c>
      <c r="U15" s="346"/>
      <c r="V15" s="125"/>
      <c r="W15" s="347">
        <f>K15*0.45</f>
        <v>0</v>
      </c>
      <c r="X15" s="347"/>
      <c r="Y15" s="124"/>
      <c r="Z15" s="24"/>
      <c r="AA15" s="24"/>
      <c r="AB15" s="31"/>
      <c r="AC15" s="22"/>
      <c r="AD15" s="131"/>
      <c r="AE15" s="131"/>
      <c r="AF15" s="132"/>
      <c r="AG15" s="135"/>
      <c r="AH15" s="140">
        <v>94963</v>
      </c>
      <c r="AI15" s="141">
        <v>40.03</v>
      </c>
      <c r="AJ15" s="26"/>
      <c r="AK15" s="26"/>
    </row>
    <row r="16" spans="1:37" ht="10.9" customHeight="1" x14ac:dyDescent="0.2">
      <c r="A16" s="131"/>
      <c r="B16" s="7"/>
      <c r="C16" s="22"/>
      <c r="D16" s="7"/>
      <c r="E16" s="20"/>
      <c r="F16" s="20"/>
      <c r="G16" s="20"/>
      <c r="H16" s="20"/>
      <c r="I16" s="20"/>
      <c r="J16" s="20"/>
      <c r="K16" s="7"/>
      <c r="L16" s="7"/>
      <c r="M16" s="7"/>
      <c r="N16" s="7"/>
      <c r="O16" s="7"/>
      <c r="P16" s="7"/>
      <c r="Q16" s="7"/>
      <c r="R16" s="24"/>
      <c r="S16" s="24"/>
      <c r="T16" s="126"/>
      <c r="U16" s="125"/>
      <c r="V16" s="125"/>
      <c r="W16" s="125"/>
      <c r="X16" s="125"/>
      <c r="Y16" s="124"/>
      <c r="Z16" s="24"/>
      <c r="AA16" s="24"/>
      <c r="AB16" s="31"/>
      <c r="AC16" s="22"/>
      <c r="AD16" s="131"/>
      <c r="AE16" s="131"/>
      <c r="AF16" s="132"/>
      <c r="AG16" s="135"/>
      <c r="AH16" s="140">
        <v>94964</v>
      </c>
      <c r="AI16" s="141">
        <v>40.03</v>
      </c>
      <c r="AJ16" s="26"/>
      <c r="AK16" s="26"/>
    </row>
    <row r="17" spans="1:37" ht="10.9" customHeight="1" x14ac:dyDescent="0.2">
      <c r="A17" s="131"/>
      <c r="B17" s="7"/>
      <c r="C17" s="13" t="s">
        <v>22</v>
      </c>
      <c r="D17" s="14"/>
      <c r="E17" s="20"/>
      <c r="F17" s="20"/>
      <c r="G17" s="20"/>
      <c r="H17" s="20"/>
      <c r="I17" s="22"/>
      <c r="J17" s="22"/>
      <c r="K17" s="340">
        <v>0</v>
      </c>
      <c r="L17" s="341"/>
      <c r="M17" s="341"/>
      <c r="N17" s="341"/>
      <c r="O17" s="342"/>
      <c r="P17" s="7" t="s">
        <v>24</v>
      </c>
      <c r="Q17" s="7"/>
      <c r="R17" s="24"/>
      <c r="S17" s="24"/>
      <c r="T17" s="346">
        <f>K17*0.45</f>
        <v>0</v>
      </c>
      <c r="U17" s="346"/>
      <c r="V17" s="125"/>
      <c r="W17" s="347">
        <f>K17*0.55</f>
        <v>0</v>
      </c>
      <c r="X17" s="347"/>
      <c r="Y17" s="124"/>
      <c r="Z17" s="24"/>
      <c r="AA17" s="24"/>
      <c r="AB17" s="31"/>
      <c r="AC17" s="22"/>
      <c r="AD17" s="131"/>
      <c r="AE17" s="131"/>
      <c r="AF17" s="132"/>
      <c r="AG17" s="135"/>
      <c r="AH17" s="140">
        <v>94965</v>
      </c>
      <c r="AI17" s="141">
        <v>26.33</v>
      </c>
      <c r="AJ17" s="26"/>
      <c r="AK17" s="26"/>
    </row>
    <row r="18" spans="1:37" ht="10.9" customHeight="1" x14ac:dyDescent="0.2">
      <c r="A18" s="131"/>
      <c r="B18" s="7"/>
      <c r="C18" s="11"/>
      <c r="D18" s="22"/>
      <c r="E18" s="20"/>
      <c r="F18" s="20"/>
      <c r="G18" s="20"/>
      <c r="H18" s="20"/>
      <c r="I18" s="20"/>
      <c r="J18" s="20"/>
      <c r="K18" s="7"/>
      <c r="L18" s="7"/>
      <c r="M18" s="7"/>
      <c r="N18" s="7"/>
      <c r="O18" s="7"/>
      <c r="P18" s="7"/>
      <c r="Q18" s="7"/>
      <c r="R18" s="24"/>
      <c r="S18" s="24"/>
      <c r="T18" s="127"/>
      <c r="U18" s="127"/>
      <c r="V18" s="127"/>
      <c r="W18" s="127"/>
      <c r="X18" s="127"/>
      <c r="Y18" s="124"/>
      <c r="Z18" s="24"/>
      <c r="AA18" s="24"/>
      <c r="AB18" s="31"/>
      <c r="AC18" s="22"/>
      <c r="AD18" s="131"/>
      <c r="AE18" s="131"/>
      <c r="AF18" s="132"/>
      <c r="AG18" s="135"/>
      <c r="AH18" s="140">
        <v>94973</v>
      </c>
      <c r="AI18" s="141">
        <v>40.03</v>
      </c>
      <c r="AJ18" s="26"/>
      <c r="AK18" s="26"/>
    </row>
    <row r="19" spans="1:37" ht="10.9" customHeight="1" x14ac:dyDescent="0.2">
      <c r="A19" s="131"/>
      <c r="B19" s="7"/>
      <c r="C19" s="19" t="s">
        <v>2</v>
      </c>
      <c r="D19" s="23"/>
      <c r="E19" s="20"/>
      <c r="F19" s="20"/>
      <c r="G19" s="338">
        <f>ROUND(K19,0)</f>
        <v>0</v>
      </c>
      <c r="H19" s="338"/>
      <c r="I19" s="338"/>
      <c r="J19" s="339"/>
      <c r="K19" s="327">
        <f>IF(T4="YES",T19,IF(T4="No", W19, 0))</f>
        <v>0</v>
      </c>
      <c r="L19" s="328"/>
      <c r="M19" s="328"/>
      <c r="N19" s="328"/>
      <c r="O19" s="329"/>
      <c r="P19" s="7" t="s">
        <v>25</v>
      </c>
      <c r="Q19" s="7"/>
      <c r="R19" s="24"/>
      <c r="S19" s="24"/>
      <c r="T19" s="374">
        <f>N4*0.62*(T15+T17)/748</f>
        <v>0</v>
      </c>
      <c r="U19" s="374"/>
      <c r="V19" s="128"/>
      <c r="W19" s="374">
        <f>N4*0.62*(W15+W17)/748</f>
        <v>0</v>
      </c>
      <c r="X19" s="374"/>
      <c r="Y19" s="139"/>
      <c r="Z19" s="24"/>
      <c r="AA19" s="24"/>
      <c r="AB19" s="31"/>
      <c r="AC19" s="22"/>
      <c r="AD19" s="131"/>
      <c r="AE19" s="131"/>
      <c r="AF19" s="132"/>
      <c r="AG19" s="133"/>
      <c r="AH19" s="136"/>
      <c r="AI19" s="136" t="s">
        <v>89</v>
      </c>
      <c r="AJ19" s="26"/>
      <c r="AK19" s="26"/>
    </row>
    <row r="20" spans="1:37" ht="10.9" customHeight="1" x14ac:dyDescent="0.2">
      <c r="A20" s="131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32"/>
      <c r="S20" s="32"/>
      <c r="T20" s="90"/>
      <c r="U20" s="90"/>
      <c r="V20" s="90"/>
      <c r="W20" s="90"/>
      <c r="X20" s="90"/>
      <c r="Y20" s="32"/>
      <c r="Z20" s="32"/>
      <c r="AA20" s="32"/>
      <c r="AB20" s="32"/>
      <c r="AC20" s="15"/>
      <c r="AD20" s="131"/>
      <c r="AE20" s="131"/>
      <c r="AF20" s="132"/>
      <c r="AG20" s="133"/>
      <c r="AH20" s="136"/>
      <c r="AI20" s="136"/>
      <c r="AJ20" s="26"/>
      <c r="AK20" s="26"/>
    </row>
    <row r="21" spans="1:37" ht="10.9" customHeight="1" x14ac:dyDescent="0.2">
      <c r="A21" s="131"/>
      <c r="B21" s="15"/>
      <c r="C21" s="369" t="s">
        <v>3</v>
      </c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1"/>
      <c r="AC21" s="15"/>
      <c r="AD21" s="131"/>
      <c r="AE21" s="131"/>
      <c r="AF21" s="132"/>
      <c r="AG21" s="133"/>
      <c r="AH21" s="136"/>
      <c r="AI21" s="136"/>
      <c r="AJ21" s="26"/>
      <c r="AK21" s="26"/>
    </row>
    <row r="22" spans="1:37" ht="10.9" customHeight="1" x14ac:dyDescent="0.2">
      <c r="A22" s="13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37"/>
      <c r="AE22" s="137"/>
      <c r="AF22" s="137"/>
      <c r="AG22" s="133"/>
      <c r="AH22" s="136"/>
      <c r="AI22" s="136"/>
      <c r="AJ22" s="26"/>
      <c r="AK22" s="26"/>
    </row>
    <row r="23" spans="1:37" ht="10.9" customHeight="1" x14ac:dyDescent="0.2">
      <c r="A23" s="131"/>
      <c r="B23" s="15"/>
      <c r="C23" s="15" t="s">
        <v>104</v>
      </c>
      <c r="D23" s="15"/>
      <c r="E23" s="15"/>
      <c r="F23" s="15"/>
      <c r="G23" s="15"/>
      <c r="H23" s="15"/>
      <c r="I23" s="15"/>
      <c r="J23" s="15"/>
      <c r="K23" s="340">
        <v>0</v>
      </c>
      <c r="L23" s="341"/>
      <c r="M23" s="341"/>
      <c r="N23" s="341"/>
      <c r="O23" s="342"/>
      <c r="P23" s="15" t="s">
        <v>24</v>
      </c>
      <c r="Q23" s="32"/>
      <c r="R23" s="32"/>
      <c r="S23" s="32"/>
      <c r="T23" s="349">
        <f>K23*0.3</f>
        <v>0</v>
      </c>
      <c r="U23" s="349"/>
      <c r="V23" s="375" t="str">
        <f>IF((K23+K25+K27)=K15,"",CONCATENATE("Total of Low, Mod and High sqft entered in this section does not equal ",K15," sqft of Landscaped Area in the MAWA section"))</f>
        <v/>
      </c>
      <c r="W23" s="375"/>
      <c r="X23" s="375"/>
      <c r="Y23" s="375"/>
      <c r="Z23" s="375"/>
      <c r="AA23" s="375"/>
      <c r="AB23" s="375"/>
      <c r="AC23" s="32"/>
      <c r="AD23" s="137"/>
      <c r="AE23" s="137"/>
      <c r="AF23" s="137"/>
      <c r="AG23" s="133"/>
      <c r="AH23" s="136"/>
      <c r="AI23" s="136"/>
      <c r="AJ23" s="26"/>
      <c r="AK23" s="26"/>
    </row>
    <row r="24" spans="1:37" ht="10.9" customHeight="1" x14ac:dyDescent="0.2">
      <c r="A24" s="131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32"/>
      <c r="R24" s="32"/>
      <c r="S24" s="32"/>
      <c r="T24" s="129"/>
      <c r="U24" s="129"/>
      <c r="V24" s="375"/>
      <c r="W24" s="375"/>
      <c r="X24" s="375"/>
      <c r="Y24" s="375"/>
      <c r="Z24" s="375"/>
      <c r="AA24" s="375"/>
      <c r="AB24" s="375"/>
      <c r="AC24" s="32"/>
      <c r="AD24" s="137"/>
      <c r="AE24" s="137"/>
      <c r="AF24" s="137"/>
      <c r="AG24" s="134"/>
      <c r="AH24" s="138"/>
      <c r="AI24" s="138"/>
      <c r="AJ24" s="26"/>
      <c r="AK24" s="26"/>
    </row>
    <row r="25" spans="1:37" ht="10.9" customHeight="1" x14ac:dyDescent="0.2">
      <c r="A25" s="131"/>
      <c r="B25" s="15"/>
      <c r="C25" s="15" t="s">
        <v>105</v>
      </c>
      <c r="D25" s="15"/>
      <c r="E25" s="15"/>
      <c r="F25" s="15"/>
      <c r="G25" s="15"/>
      <c r="H25" s="15"/>
      <c r="I25" s="15"/>
      <c r="J25" s="15"/>
      <c r="K25" s="340">
        <v>0</v>
      </c>
      <c r="L25" s="341"/>
      <c r="M25" s="341"/>
      <c r="N25" s="341"/>
      <c r="O25" s="342"/>
      <c r="P25" s="15" t="s">
        <v>24</v>
      </c>
      <c r="Q25" s="32"/>
      <c r="R25" s="32"/>
      <c r="S25" s="32"/>
      <c r="T25" s="349">
        <f>K25*0.6</f>
        <v>0</v>
      </c>
      <c r="U25" s="349"/>
      <c r="V25" s="375"/>
      <c r="W25" s="375"/>
      <c r="X25" s="375"/>
      <c r="Y25" s="375"/>
      <c r="Z25" s="375"/>
      <c r="AA25" s="375"/>
      <c r="AB25" s="375"/>
      <c r="AC25" s="32"/>
      <c r="AD25" s="137"/>
      <c r="AE25" s="137"/>
      <c r="AF25" s="137"/>
      <c r="AG25" s="134"/>
      <c r="AH25" s="138"/>
      <c r="AI25" s="138"/>
      <c r="AJ25" s="26"/>
      <c r="AK25" s="26"/>
    </row>
    <row r="26" spans="1:37" ht="10.9" customHeight="1" x14ac:dyDescent="0.2">
      <c r="A26" s="131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32"/>
      <c r="R26" s="32"/>
      <c r="S26" s="32"/>
      <c r="T26" s="129"/>
      <c r="U26" s="129"/>
      <c r="V26" s="375"/>
      <c r="W26" s="375"/>
      <c r="X26" s="375"/>
      <c r="Y26" s="375"/>
      <c r="Z26" s="375"/>
      <c r="AA26" s="375"/>
      <c r="AB26" s="375"/>
      <c r="AC26" s="32"/>
      <c r="AD26" s="137"/>
      <c r="AE26" s="137"/>
      <c r="AF26" s="137"/>
      <c r="AG26" s="134"/>
      <c r="AH26" s="138"/>
      <c r="AI26" s="138"/>
      <c r="AJ26" s="26"/>
      <c r="AK26" s="26"/>
    </row>
    <row r="27" spans="1:37" ht="10.9" customHeight="1" x14ac:dyDescent="0.2">
      <c r="A27" s="131"/>
      <c r="B27" s="15"/>
      <c r="C27" s="15" t="s">
        <v>106</v>
      </c>
      <c r="D27" s="15"/>
      <c r="E27" s="15"/>
      <c r="F27" s="15"/>
      <c r="G27" s="15"/>
      <c r="H27" s="15"/>
      <c r="I27" s="15"/>
      <c r="J27" s="15"/>
      <c r="K27" s="340">
        <v>0</v>
      </c>
      <c r="L27" s="341"/>
      <c r="M27" s="341"/>
      <c r="N27" s="341"/>
      <c r="O27" s="342"/>
      <c r="P27" s="15" t="s">
        <v>24</v>
      </c>
      <c r="Q27" s="32"/>
      <c r="R27" s="32"/>
      <c r="S27" s="32"/>
      <c r="T27" s="348">
        <f>K27</f>
        <v>0</v>
      </c>
      <c r="U27" s="349"/>
      <c r="V27" s="375"/>
      <c r="W27" s="375"/>
      <c r="X27" s="375"/>
      <c r="Y27" s="375"/>
      <c r="Z27" s="375"/>
      <c r="AA27" s="375"/>
      <c r="AB27" s="375"/>
      <c r="AC27" s="32"/>
      <c r="AD27" s="137"/>
      <c r="AE27" s="137"/>
      <c r="AF27" s="137"/>
      <c r="AG27" s="134"/>
      <c r="AH27" s="138"/>
      <c r="AI27" s="138"/>
      <c r="AJ27" s="26"/>
      <c r="AK27" s="26"/>
    </row>
    <row r="28" spans="1:37" ht="10.9" customHeight="1" x14ac:dyDescent="0.2">
      <c r="A28" s="131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2"/>
      <c r="R28" s="32"/>
      <c r="S28" s="32"/>
      <c r="T28" s="32"/>
      <c r="U28" s="32"/>
      <c r="V28" s="375"/>
      <c r="W28" s="375"/>
      <c r="X28" s="375"/>
      <c r="Y28" s="375"/>
      <c r="Z28" s="375"/>
      <c r="AA28" s="375"/>
      <c r="AB28" s="375"/>
      <c r="AC28" s="32"/>
      <c r="AD28" s="137"/>
      <c r="AE28" s="137"/>
      <c r="AF28" s="137"/>
      <c r="AG28" s="134"/>
      <c r="AH28" s="138"/>
      <c r="AI28" s="138"/>
      <c r="AJ28" s="26"/>
      <c r="AK28" s="26"/>
    </row>
    <row r="29" spans="1:37" ht="10.9" customHeight="1" x14ac:dyDescent="0.2">
      <c r="A29" s="131"/>
      <c r="B29" s="15"/>
      <c r="C29" s="15" t="s">
        <v>23</v>
      </c>
      <c r="D29" s="15"/>
      <c r="E29" s="15"/>
      <c r="F29" s="15"/>
      <c r="G29" s="15"/>
      <c r="H29" s="15"/>
      <c r="I29" s="15"/>
      <c r="J29" s="15"/>
      <c r="K29" s="315">
        <v>0.75</v>
      </c>
      <c r="L29" s="316"/>
      <c r="M29" s="316"/>
      <c r="N29" s="316"/>
      <c r="O29" s="317"/>
      <c r="P29" s="15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137"/>
      <c r="AE29" s="137"/>
      <c r="AF29" s="137"/>
      <c r="AG29" s="134"/>
      <c r="AH29" s="138"/>
      <c r="AI29" s="138"/>
      <c r="AJ29" s="26"/>
      <c r="AK29" s="26"/>
    </row>
    <row r="30" spans="1:37" ht="10.9" customHeight="1" x14ac:dyDescent="0.2">
      <c r="A30" s="131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137"/>
      <c r="AE30" s="137"/>
      <c r="AF30" s="137"/>
      <c r="AG30" s="134"/>
      <c r="AH30" s="138"/>
      <c r="AI30" s="138"/>
      <c r="AJ30" s="26"/>
      <c r="AK30" s="26"/>
    </row>
    <row r="31" spans="1:37" ht="10.9" customHeight="1" x14ac:dyDescent="0.2">
      <c r="A31" s="131"/>
      <c r="B31" s="15"/>
      <c r="C31" s="22"/>
      <c r="D31" s="318" t="s">
        <v>5</v>
      </c>
      <c r="E31" s="319"/>
      <c r="F31" s="319"/>
      <c r="G31" s="319"/>
      <c r="H31" s="319"/>
      <c r="I31" s="319"/>
      <c r="J31" s="320"/>
      <c r="K31" s="319" t="s">
        <v>6</v>
      </c>
      <c r="L31" s="319"/>
      <c r="M31" s="319"/>
      <c r="N31" s="319"/>
      <c r="O31" s="319"/>
      <c r="P31" s="27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137"/>
      <c r="AE31" s="137"/>
      <c r="AF31" s="137"/>
      <c r="AG31" s="134"/>
      <c r="AH31" s="138"/>
      <c r="AI31" s="138"/>
      <c r="AJ31" s="26"/>
      <c r="AK31" s="26"/>
    </row>
    <row r="32" spans="1:37" ht="10.9" customHeight="1" x14ac:dyDescent="0.2">
      <c r="A32" s="131"/>
      <c r="B32" s="15"/>
      <c r="C32" s="22"/>
      <c r="D32" s="321"/>
      <c r="E32" s="322"/>
      <c r="F32" s="322"/>
      <c r="G32" s="322"/>
      <c r="H32" s="322"/>
      <c r="I32" s="322"/>
      <c r="J32" s="323"/>
      <c r="K32" s="322"/>
      <c r="L32" s="322"/>
      <c r="M32" s="322"/>
      <c r="N32" s="322"/>
      <c r="O32" s="322"/>
      <c r="P32" s="27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137"/>
      <c r="AE32" s="137"/>
      <c r="AF32" s="137"/>
      <c r="AG32" s="134"/>
      <c r="AH32" s="138"/>
      <c r="AI32" s="138"/>
      <c r="AJ32" s="26"/>
      <c r="AK32" s="26"/>
    </row>
    <row r="33" spans="1:37" ht="10.9" customHeight="1" x14ac:dyDescent="0.2">
      <c r="A33" s="131"/>
      <c r="B33" s="15"/>
      <c r="C33" s="22"/>
      <c r="D33" s="330" t="s">
        <v>13</v>
      </c>
      <c r="E33" s="331"/>
      <c r="F33" s="331"/>
      <c r="G33" s="331"/>
      <c r="H33" s="331"/>
      <c r="I33" s="331"/>
      <c r="J33" s="332"/>
      <c r="K33" s="330" t="s">
        <v>26</v>
      </c>
      <c r="L33" s="331"/>
      <c r="M33" s="333">
        <v>0.75</v>
      </c>
      <c r="N33" s="333"/>
      <c r="O33" s="334"/>
      <c r="P33" s="28"/>
      <c r="Q33" s="32"/>
      <c r="R33" s="32"/>
      <c r="S33" s="31"/>
      <c r="T33" s="31"/>
      <c r="U33" s="32"/>
      <c r="V33" s="32"/>
      <c r="W33" s="32"/>
      <c r="X33" s="32"/>
      <c r="Y33" s="32"/>
      <c r="Z33" s="32"/>
      <c r="AA33" s="32"/>
      <c r="AB33" s="32"/>
      <c r="AC33" s="32"/>
      <c r="AD33" s="137"/>
      <c r="AE33" s="137"/>
      <c r="AF33" s="137"/>
      <c r="AG33" s="134"/>
      <c r="AH33" s="138"/>
      <c r="AI33" s="138"/>
      <c r="AJ33" s="26"/>
      <c r="AK33" s="26"/>
    </row>
    <row r="34" spans="1:37" ht="10.9" customHeight="1" x14ac:dyDescent="0.2">
      <c r="A34" s="131"/>
      <c r="B34" s="15"/>
      <c r="C34" s="22"/>
      <c r="D34" s="330" t="s">
        <v>14</v>
      </c>
      <c r="E34" s="331"/>
      <c r="F34" s="331"/>
      <c r="G34" s="331"/>
      <c r="H34" s="331"/>
      <c r="I34" s="331"/>
      <c r="J34" s="332"/>
      <c r="K34" s="330" t="s">
        <v>26</v>
      </c>
      <c r="L34" s="331"/>
      <c r="M34" s="333">
        <v>0.8</v>
      </c>
      <c r="N34" s="333"/>
      <c r="O34" s="334"/>
      <c r="P34" s="28"/>
      <c r="Q34" s="32"/>
      <c r="R34" s="32"/>
      <c r="S34" s="31"/>
      <c r="T34" s="31"/>
      <c r="U34" s="32"/>
      <c r="V34" s="32"/>
      <c r="W34" s="32"/>
      <c r="X34" s="32"/>
      <c r="Y34" s="32"/>
      <c r="Z34" s="32"/>
      <c r="AA34" s="32"/>
      <c r="AB34" s="32"/>
      <c r="AC34" s="32"/>
      <c r="AD34" s="137"/>
      <c r="AE34" s="137"/>
      <c r="AF34" s="137"/>
      <c r="AG34" s="134"/>
      <c r="AH34" s="138"/>
      <c r="AI34" s="138"/>
      <c r="AJ34" s="26"/>
      <c r="AK34" s="26"/>
    </row>
    <row r="35" spans="1:37" ht="10.9" customHeight="1" x14ac:dyDescent="0.2">
      <c r="A35" s="131"/>
      <c r="B35" s="7"/>
      <c r="C35" s="22"/>
      <c r="D35" s="335" t="s">
        <v>15</v>
      </c>
      <c r="E35" s="336"/>
      <c r="F35" s="336"/>
      <c r="G35" s="336"/>
      <c r="H35" s="336"/>
      <c r="I35" s="336"/>
      <c r="J35" s="337"/>
      <c r="K35" s="330" t="s">
        <v>26</v>
      </c>
      <c r="L35" s="331"/>
      <c r="M35" s="333">
        <v>0.85</v>
      </c>
      <c r="N35" s="333"/>
      <c r="O35" s="334"/>
      <c r="P35" s="16"/>
      <c r="Q35" s="31"/>
      <c r="R35" s="31"/>
      <c r="S35" s="31"/>
      <c r="T35" s="31"/>
      <c r="U35" s="24"/>
      <c r="V35" s="24"/>
      <c r="W35" s="24"/>
      <c r="X35" s="24"/>
      <c r="Y35" s="24"/>
      <c r="Z35" s="24"/>
      <c r="AA35" s="24"/>
      <c r="AB35" s="31"/>
      <c r="AC35" s="31"/>
      <c r="AD35" s="137"/>
      <c r="AE35" s="137"/>
      <c r="AF35" s="137"/>
      <c r="AG35" s="134"/>
      <c r="AH35" s="138"/>
      <c r="AI35" s="138"/>
      <c r="AJ35" s="26"/>
      <c r="AK35" s="26"/>
    </row>
    <row r="36" spans="1:37" ht="10.9" customHeight="1" x14ac:dyDescent="0.2">
      <c r="A36" s="131"/>
      <c r="B36" s="7"/>
      <c r="C36" s="22"/>
      <c r="D36" s="98"/>
      <c r="E36" s="98"/>
      <c r="F36" s="98"/>
      <c r="G36" s="98"/>
      <c r="H36" s="98"/>
      <c r="I36" s="98"/>
      <c r="J36" s="98"/>
      <c r="K36" s="29"/>
      <c r="L36" s="29"/>
      <c r="M36" s="17"/>
      <c r="N36" s="17"/>
      <c r="O36" s="17"/>
      <c r="P36" s="18"/>
      <c r="Q36" s="31"/>
      <c r="R36" s="31"/>
      <c r="S36" s="31"/>
      <c r="T36" s="31"/>
      <c r="U36" s="24"/>
      <c r="V36" s="33"/>
      <c r="W36" s="324" t="str">
        <f>IF(G37&lt;=G19,"",CONCATENATE("ETWU cannot exceed MAWA"))</f>
        <v/>
      </c>
      <c r="X36" s="324"/>
      <c r="Y36" s="324"/>
      <c r="Z36" s="324"/>
      <c r="AA36" s="324"/>
      <c r="AB36" s="34"/>
      <c r="AC36" s="31"/>
      <c r="AD36" s="137"/>
      <c r="AE36" s="137"/>
      <c r="AF36" s="137"/>
      <c r="AG36" s="134"/>
      <c r="AH36" s="138"/>
      <c r="AI36" s="138"/>
      <c r="AJ36" s="26"/>
      <c r="AK36" s="26"/>
    </row>
    <row r="37" spans="1:37" ht="10.9" customHeight="1" x14ac:dyDescent="0.2">
      <c r="A37" s="131"/>
      <c r="B37" s="7"/>
      <c r="C37" s="19" t="s">
        <v>4</v>
      </c>
      <c r="D37" s="23"/>
      <c r="E37" s="35"/>
      <c r="F37" s="35"/>
      <c r="G37" s="325">
        <f>ROUND(K37, 0)</f>
        <v>0</v>
      </c>
      <c r="H37" s="325"/>
      <c r="I37" s="325"/>
      <c r="J37" s="326"/>
      <c r="K37" s="327">
        <f>(N4*0.62*(T23+T25+T27)/K29)/748</f>
        <v>0</v>
      </c>
      <c r="L37" s="328"/>
      <c r="M37" s="328"/>
      <c r="N37" s="328"/>
      <c r="O37" s="329"/>
      <c r="P37" s="7" t="s">
        <v>25</v>
      </c>
      <c r="Q37" s="31"/>
      <c r="R37" s="31"/>
      <c r="S37" s="31"/>
      <c r="T37" s="31"/>
      <c r="U37" s="24"/>
      <c r="V37" s="34"/>
      <c r="W37" s="324"/>
      <c r="X37" s="324"/>
      <c r="Y37" s="324"/>
      <c r="Z37" s="324"/>
      <c r="AA37" s="324"/>
      <c r="AB37" s="34"/>
      <c r="AC37" s="31"/>
      <c r="AD37" s="137"/>
      <c r="AE37" s="137"/>
      <c r="AF37" s="137"/>
      <c r="AG37" s="134"/>
      <c r="AH37" s="138"/>
      <c r="AI37" s="138"/>
      <c r="AJ37" s="26"/>
      <c r="AK37" s="26"/>
    </row>
    <row r="38" spans="1:37" ht="10.9" customHeight="1" thickBot="1" x14ac:dyDescent="0.25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26"/>
      <c r="AE38" s="131"/>
      <c r="AF38" s="131"/>
      <c r="AG38" s="134"/>
      <c r="AH38" s="26"/>
      <c r="AI38" s="26"/>
      <c r="AJ38" s="26"/>
      <c r="AK38" s="26"/>
    </row>
    <row r="39" spans="1:37" ht="10.9" customHeight="1" x14ac:dyDescent="0.2">
      <c r="A39" s="131"/>
      <c r="B39" s="356" t="s">
        <v>113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357"/>
      <c r="N39" s="357"/>
      <c r="O39" s="357"/>
      <c r="P39" s="357"/>
      <c r="Q39" s="357"/>
      <c r="R39" s="357"/>
      <c r="S39" s="357"/>
      <c r="T39" s="357"/>
      <c r="U39" s="357"/>
      <c r="V39" s="357"/>
      <c r="W39" s="357"/>
      <c r="X39" s="357"/>
      <c r="Y39" s="357"/>
      <c r="Z39" s="357"/>
      <c r="AA39" s="357"/>
      <c r="AB39" s="357"/>
      <c r="AC39" s="358"/>
      <c r="AD39" s="131"/>
      <c r="AE39" s="131"/>
      <c r="AF39" s="131"/>
      <c r="AG39" s="134"/>
      <c r="AH39" s="26"/>
      <c r="AI39" s="26"/>
      <c r="AJ39" s="26"/>
      <c r="AK39" s="26"/>
    </row>
    <row r="40" spans="1:37" ht="10.9" customHeight="1" x14ac:dyDescent="0.2">
      <c r="A40" s="131"/>
      <c r="B40" s="359" t="s">
        <v>20</v>
      </c>
      <c r="C40" s="360"/>
      <c r="D40" s="360"/>
      <c r="E40" s="361"/>
      <c r="F40" s="362" t="s">
        <v>27</v>
      </c>
      <c r="G40" s="353"/>
      <c r="H40" s="353"/>
      <c r="I40" s="363">
        <f>G37*748</f>
        <v>0</v>
      </c>
      <c r="J40" s="363"/>
      <c r="K40" s="363"/>
      <c r="L40" s="363"/>
      <c r="M40" s="364"/>
      <c r="N40" s="362" t="s">
        <v>29</v>
      </c>
      <c r="O40" s="353"/>
      <c r="P40" s="353"/>
      <c r="Q40" s="363">
        <f>G37</f>
        <v>0</v>
      </c>
      <c r="R40" s="363"/>
      <c r="S40" s="363"/>
      <c r="T40" s="363"/>
      <c r="U40" s="364"/>
      <c r="V40" s="362" t="s">
        <v>28</v>
      </c>
      <c r="W40" s="353"/>
      <c r="X40" s="367">
        <f>G37/435.6</f>
        <v>0</v>
      </c>
      <c r="Y40" s="367"/>
      <c r="Z40" s="367"/>
      <c r="AA40" s="367"/>
      <c r="AB40" s="367"/>
      <c r="AC40" s="368"/>
      <c r="AD40" s="131"/>
      <c r="AE40" s="131"/>
      <c r="AF40" s="131"/>
      <c r="AG40" s="134"/>
      <c r="AH40" s="26"/>
      <c r="AI40" s="26"/>
      <c r="AJ40" s="26"/>
      <c r="AK40" s="26"/>
    </row>
    <row r="41" spans="1:37" ht="10.9" customHeight="1" x14ac:dyDescent="0.2">
      <c r="A41" s="131"/>
      <c r="B41" s="352" t="s">
        <v>7</v>
      </c>
      <c r="C41" s="353"/>
      <c r="D41" s="353"/>
      <c r="E41" s="354"/>
      <c r="F41" s="312" t="s">
        <v>38</v>
      </c>
      <c r="G41" s="312"/>
      <c r="H41" s="312" t="s">
        <v>39</v>
      </c>
      <c r="I41" s="312"/>
      <c r="J41" s="312" t="s">
        <v>40</v>
      </c>
      <c r="K41" s="312"/>
      <c r="L41" s="312" t="s">
        <v>41</v>
      </c>
      <c r="M41" s="312"/>
      <c r="N41" s="312" t="s">
        <v>42</v>
      </c>
      <c r="O41" s="312"/>
      <c r="P41" s="312" t="s">
        <v>43</v>
      </c>
      <c r="Q41" s="312"/>
      <c r="R41" s="312" t="s">
        <v>44</v>
      </c>
      <c r="S41" s="312"/>
      <c r="T41" s="312" t="s">
        <v>45</v>
      </c>
      <c r="U41" s="312"/>
      <c r="V41" s="312" t="s">
        <v>46</v>
      </c>
      <c r="W41" s="312"/>
      <c r="X41" s="312" t="s">
        <v>47</v>
      </c>
      <c r="Y41" s="312"/>
      <c r="Z41" s="312" t="s">
        <v>48</v>
      </c>
      <c r="AA41" s="312"/>
      <c r="AB41" s="313" t="s">
        <v>49</v>
      </c>
      <c r="AC41" s="314"/>
      <c r="AD41" s="131"/>
      <c r="AE41" s="131"/>
      <c r="AF41" s="131"/>
      <c r="AG41" s="134"/>
      <c r="AH41" s="26"/>
      <c r="AI41" s="26"/>
      <c r="AJ41" s="26"/>
      <c r="AK41" s="26"/>
    </row>
    <row r="42" spans="1:37" ht="10.9" customHeight="1" x14ac:dyDescent="0.2">
      <c r="A42" s="131"/>
      <c r="B42" s="352" t="s">
        <v>8</v>
      </c>
      <c r="C42" s="353"/>
      <c r="D42" s="353"/>
      <c r="E42" s="354"/>
      <c r="F42" s="311">
        <f>IF(MAWA.ETWU!K4=94920,'ZONE 1'!C34,IF(MAWA.ETWU!K4=94941,'ZONE 1'!C17,IF(MAWA.ETWU!K4=94965,'ZONE 1'!C34,IF(MAWA.ETWU!K4=94904,'ZONE 4'!C17,IF(MAWA.ETWU!K4=94925,'ZONE 4'!C17,IF(MAWA.ETWU!K4=94930,'ZONE 4'!C17,IF(MAWA.ETWU!K4=94939,'ZONE 4'!C17,IF(MAWA.ETWU!K4=94946,'ZONE 4'!C17, 0))))))))+IF(MAWA.ETWU!K4=94933,'ZONE 4'!C17,IF(MAWA.ETWU!K4=94957,'ZONE 4'!C17,IF(MAWA.ETWU!K4=94960,'ZONE 4'!C17,IF(MAWA.ETWU!K4=94963,'ZONE 4'!C17,IF(MAWA.ETWU!K4=94964,'ZONE 4'!C34,IF(MAWA.ETWU!K4=94973,'ZONE 4'!C17,IF(MAWA.ETWU!K4=94901,'ZONE 5'!C34,IF(MAWA.ETWU!K4=94903,'ZONE 5'!C34, 0))))))))</f>
        <v>0</v>
      </c>
      <c r="G42" s="311"/>
      <c r="H42" s="311">
        <f>IF(MAWA.ETWU!K4=94920,'ZONE 1'!D34,IF(MAWA.ETWU!K4=94941,'ZONE 1'!D17,IF(MAWA.ETWU!K4=94965,'ZONE 1'!D34,IF(MAWA.ETWU!K4=94904,'ZONE 4'!D17,IF(MAWA.ETWU!K4=94925,'ZONE 4'!D17,IF(MAWA.ETWU!K4=94930,'ZONE 4'!D17,IF(MAWA.ETWU!K4=94939,'ZONE 4'!D17,IF(MAWA.ETWU!K4=94946,'ZONE 4'!D17, 0))))))))+IF(MAWA.ETWU!K4=94933,'ZONE 4'!D17,IF(MAWA.ETWU!K4=94957,'ZONE 4'!D17,IF(MAWA.ETWU!K4=94960,'ZONE 4'!D17,IF(MAWA.ETWU!K4=94963,'ZONE 4'!D17,IF(MAWA.ETWU!K4=94964,'ZONE 4'!D34,IF(MAWA.ETWU!K4=94973,'ZONE 4'!D17,IF(MAWA.ETWU!K4=94901,'ZONE 5'!D34,IF(MAWA.ETWU!K4=94903,'ZONE 5'!D34, 0))))))))</f>
        <v>0</v>
      </c>
      <c r="I42" s="311"/>
      <c r="J42" s="311">
        <f>IF(MAWA.ETWU!K4=94920,'ZONE 1'!E34,IF(MAWA.ETWU!K4=94941,'ZONE 1'!E17,IF(MAWA.ETWU!K4=94965,'ZONE 1'!E34,IF(MAWA.ETWU!K4=94904,'ZONE 4'!E17,IF(MAWA.ETWU!K4=94925,'ZONE 4'!E17,IF(MAWA.ETWU!K4=94930,'ZONE 4'!E17,IF(MAWA.ETWU!K4=94939,'ZONE 4'!E17,IF(MAWA.ETWU!K4=94946,'ZONE 4'!E17, 0))))))))+IF(MAWA.ETWU!K4=94933,'ZONE 4'!E17,IF(MAWA.ETWU!K4=94957,'ZONE 4'!E17,IF(MAWA.ETWU!K4=94960,'ZONE 4'!E17,IF(MAWA.ETWU!K4=94963,'ZONE 4'!E17,IF(MAWA.ETWU!K4=94964,'ZONE 4'!E34,IF(MAWA.ETWU!K4=94973,'ZONE 4'!E17,IF(MAWA.ETWU!K4=94901,'ZONE 5'!E34,IF(MAWA.ETWU!K4=94903,'ZONE 5'!E34, 0))))))))</f>
        <v>0</v>
      </c>
      <c r="K42" s="311"/>
      <c r="L42" s="311">
        <f>IF(MAWA.ETWU!K4=94920,'ZONE 1'!F34,IF(MAWA.ETWU!K4=94941,'ZONE 1'!F17,IF(MAWA.ETWU!K4=94965,'ZONE 1'!F34,IF(MAWA.ETWU!K4=94904,'ZONE 4'!F17,IF(MAWA.ETWU!K4=94925,'ZONE 4'!F17,IF(MAWA.ETWU!K4=94930,'ZONE 4'!F17,IF(MAWA.ETWU!K4=94939,'ZONE 4'!F17,IF(MAWA.ETWU!K4=94946,'ZONE 4'!F17, 0))))))))+IF(MAWA.ETWU!K4=94933,'ZONE 4'!F17,IF(MAWA.ETWU!K4=94957,'ZONE 4'!F17,IF(MAWA.ETWU!K4=94960,'ZONE 4'!F17,IF(MAWA.ETWU!K4=94963,'ZONE 4'!F17,IF(MAWA.ETWU!K4=94964,'ZONE 4'!F34,IF(MAWA.ETWU!K4=94973,'ZONE 4'!F17,IF(MAWA.ETWU!K4=94901,'ZONE 5'!F34,IF(MAWA.ETWU!K4=94903,'ZONE 5'!F34, 0))))))))</f>
        <v>0</v>
      </c>
      <c r="M42" s="311"/>
      <c r="N42" s="311">
        <f>IF(MAWA.ETWU!K4=94920,'ZONE 1'!G34,IF(MAWA.ETWU!K4=94941,'ZONE 1'!G17,IF(MAWA.ETWU!K4=94965,'ZONE 1'!G34,IF(MAWA.ETWU!K4=94904,'ZONE 4'!G17,IF(MAWA.ETWU!K4=94925,'ZONE 4'!G17,IF(MAWA.ETWU!K4=94930,'ZONE 4'!G17,IF(MAWA.ETWU!K4=94939,'ZONE 4'!G17,IF(MAWA.ETWU!K4=94946,'ZONE 4'!G17, 0))))))))+IF(MAWA.ETWU!K4=94933,'ZONE 4'!G17,IF(MAWA.ETWU!K4=94957,'ZONE 4'!G17,IF(MAWA.ETWU!K4=94960,'ZONE 4'!G17,IF(MAWA.ETWU!K4=94963,'ZONE 4'!G17,IF(MAWA.ETWU!K4=94964,'ZONE 4'!G34,IF(MAWA.ETWU!K4=94973,'ZONE 4'!G17,IF(MAWA.ETWU!K4=94901,'ZONE 5'!G34,IF(MAWA.ETWU!K4=94903,'ZONE 5'!G34, 0))))))))</f>
        <v>0</v>
      </c>
      <c r="O42" s="311"/>
      <c r="P42" s="311">
        <f>IF(MAWA.ETWU!K4=94920,'ZONE 1'!H34,IF(MAWA.ETWU!K4=94941,'ZONE 1'!H17,IF(MAWA.ETWU!K4=94965,'ZONE 1'!H34,IF(MAWA.ETWU!K4=94904,'ZONE 4'!H17,IF(MAWA.ETWU!K4=94925,'ZONE 4'!H17,IF(MAWA.ETWU!K4=94930,'ZONE 4'!H17,IF(MAWA.ETWU!K4=94939,'ZONE 4'!H17,IF(MAWA.ETWU!K4=94946,'ZONE 4'!H17, 0))))))))+IF(MAWA.ETWU!K4=94933,'ZONE 4'!H17,IF(MAWA.ETWU!K4=94957,'ZONE 4'!H17,IF(MAWA.ETWU!K4=94960,'ZONE 4'!H17,IF(MAWA.ETWU!K4=94963,'ZONE 4'!H17,IF(MAWA.ETWU!K4=94964,'ZONE 4'!H34,IF(MAWA.ETWU!K4=94973,'ZONE 4'!H17,IF(MAWA.ETWU!K4=94901,'ZONE 5'!H34,IF(MAWA.ETWU!K4=94903,'ZONE 5'!H34, 0))))))))</f>
        <v>0</v>
      </c>
      <c r="Q42" s="311"/>
      <c r="R42" s="311">
        <f>IF(MAWA.ETWU!K4=94920,'ZONE 1'!I34,IF(MAWA.ETWU!K4=94941,'ZONE 1'!I17,IF(MAWA.ETWU!K4=94965,'ZONE 1'!I34,IF(MAWA.ETWU!K4=94904,'ZONE 4'!I17,IF(MAWA.ETWU!K4=94925,'ZONE 4'!I17,IF(MAWA.ETWU!K4=94930,'ZONE 4'!I17,IF(MAWA.ETWU!K4=94939,'ZONE 4'!I17,IF(MAWA.ETWU!K4=94946,'ZONE 4'!I17, 0))))))))+IF(MAWA.ETWU!K4=94933,'ZONE 4'!I17,IF(MAWA.ETWU!K4=94957,'ZONE 4'!I17,IF(MAWA.ETWU!K4=94960,'ZONE 4'!I17,IF(MAWA.ETWU!K4=94963,'ZONE 4'!I17,IF(MAWA.ETWU!K4=94964,'ZONE 4'!I34,IF(MAWA.ETWU!K4=94973,'ZONE 4'!I17,IF(MAWA.ETWU!K4=94901,'ZONE 5'!I34,IF(MAWA.ETWU!K4=94903,'ZONE 5'!I34, 0))))))))</f>
        <v>0</v>
      </c>
      <c r="S42" s="311"/>
      <c r="T42" s="311">
        <f>IF(MAWA.ETWU!K4=94920,'ZONE 1'!J34,IF(MAWA.ETWU!K4=94941,'ZONE 1'!J17,IF(MAWA.ETWU!K4=94965,'ZONE 1'!J34,IF(MAWA.ETWU!K4=94904,'ZONE 4'!J17,IF(MAWA.ETWU!K4=94925,'ZONE 4'!J17,IF(MAWA.ETWU!K4=94930,'ZONE 4'!J17,IF(MAWA.ETWU!K4=94939,'ZONE 4'!J17,IF(MAWA.ETWU!K4=94946,'ZONE 4'!J17, 0))))))))+IF(MAWA.ETWU!K4=94933,'ZONE 4'!J17,IF(MAWA.ETWU!K4=94957,'ZONE 4'!J17,IF(MAWA.ETWU!K4=94960,'ZONE 4'!J17,IF(MAWA.ETWU!K4=94963,'ZONE 4'!J17,IF(MAWA.ETWU!K4=94964,'ZONE 4'!J34,IF(MAWA.ETWU!K4=94973,'ZONE 4'!J17,IF(MAWA.ETWU!K4=94901,'ZONE 5'!J34,IF(MAWA.ETWU!K4=94903,'ZONE 5'!J34, 0))))))))</f>
        <v>0</v>
      </c>
      <c r="U42" s="311"/>
      <c r="V42" s="311">
        <f>IF(MAWA.ETWU!K4=94920,'ZONE 1'!K34,IF(MAWA.ETWU!K4=94941,'ZONE 1'!K17,IF(MAWA.ETWU!K4=94965,'ZONE 1'!K34,IF(MAWA.ETWU!K4=94904,'ZONE 4'!K17,IF(MAWA.ETWU!K4=94925,'ZONE 4'!K17,IF(MAWA.ETWU!K4=94930,'ZONE 4'!K17,IF(MAWA.ETWU!K4=94939,'ZONE 4'!K17,IF(MAWA.ETWU!K4=94946,'ZONE 4'!K17, 0))))))))+IF(MAWA.ETWU!K4=94933,'ZONE 4'!K17,IF(MAWA.ETWU!K4=94957,'ZONE 4'!K17,IF(MAWA.ETWU!K4=94960,'ZONE 4'!K17,IF(MAWA.ETWU!K4=94963,'ZONE 4'!K17,IF(MAWA.ETWU!K4=94964,'ZONE 4'!K34,IF(MAWA.ETWU!K4=94973,'ZONE 4'!K17,IF(MAWA.ETWU!K4=94901,'ZONE 5'!K34,IF(MAWA.ETWU!K4=94903,'ZONE 5'!K34, 0))))))))</f>
        <v>0</v>
      </c>
      <c r="W42" s="311"/>
      <c r="X42" s="311">
        <f>IF(MAWA.ETWU!K4=94920,'ZONE 1'!L34,IF(MAWA.ETWU!K4=94941,'ZONE 1'!L17,IF(MAWA.ETWU!K4=94965,'ZONE 1'!L34,IF(MAWA.ETWU!K4=94904,'ZONE 4'!L17,IF(MAWA.ETWU!K4=94925,'ZONE 4'!L17,IF(MAWA.ETWU!K4=94930,'ZONE 4'!L17,IF(MAWA.ETWU!K4=94939,'ZONE 4'!L17,IF(MAWA.ETWU!K4=94946,'ZONE 4'!L17, 0))))))))+IF(MAWA.ETWU!K4=94933,'ZONE 4'!L17,IF(MAWA.ETWU!K4=94957,'ZONE 4'!L17,IF(MAWA.ETWU!K4=94960,'ZONE 4'!L17,IF(MAWA.ETWU!K4=94963,'ZONE 4'!L17,IF(MAWA.ETWU!K4=94964,'ZONE 4'!L34,IF(MAWA.ETWU!K4=94973,'ZONE 4'!L17,IF(MAWA.ETWU!K4=94901,'ZONE 5'!L34,IF(MAWA.ETWU!K4=94903,'ZONE 5'!L34, 0))))))))</f>
        <v>0</v>
      </c>
      <c r="Y42" s="311"/>
      <c r="Z42" s="311">
        <f>IF(MAWA.ETWU!K4=94920,'ZONE 1'!M34,IF(MAWA.ETWU!K4=94941,'ZONE 1'!M17,IF(MAWA.ETWU!K4=94965,'ZONE 1'!M34,IF(MAWA.ETWU!K4=94904,'ZONE 4'!M17,IF(MAWA.ETWU!K4=94925,'ZONE 4'!M17,IF(MAWA.ETWU!K4=94930,'ZONE 4'!M17,IF(MAWA.ETWU!K4=94939,'ZONE 4'!M17,IF(MAWA.ETWU!K4=94946,'ZONE 4'!M17, 0))))))))+IF(MAWA.ETWU!K4=94933,'ZONE 4'!M17,IF(MAWA.ETWU!K4=94957,'ZONE 4'!M17,IF(MAWA.ETWU!K4=94960,'ZONE 4'!M17,IF(MAWA.ETWU!K4=94963,'ZONE 4'!M17,IF(MAWA.ETWU!K4=94964,'ZONE 4'!M34,IF(MAWA.ETWU!K4=94973,'ZONE 4'!M17,IF(MAWA.ETWU!K4=94901,'ZONE 5'!M34,IF(MAWA.ETWU!K4=94903,'ZONE 5'!M34, 0))))))))</f>
        <v>0</v>
      </c>
      <c r="AA42" s="311"/>
      <c r="AB42" s="309">
        <f>IF(MAWA.ETWU!K4=94920,'ZONE 1'!N34,IF(MAWA.ETWU!K4=94941,'ZONE 1'!N17,IF(MAWA.ETWU!K4=94965,'ZONE 1'!N34,IF(MAWA.ETWU!K4=94904,'ZONE 4'!N17,IF(MAWA.ETWU!K4=94925,'ZONE 4'!N17,IF(MAWA.ETWU!K4=94930,'ZONE 4'!N17,IF(MAWA.ETWU!K4=94939,'ZONE 4'!N17,IF(MAWA.ETWU!K4=94946,'ZONE 4'!N17, 0))))))))+IF(MAWA.ETWU!K4=94933,'ZONE 4'!N17,IF(MAWA.ETWU!K4=94957,'ZONE 4'!N17,IF(MAWA.ETWU!K4=94960,'ZONE 4'!N17,IF(MAWA.ETWU!K4=94963,'ZONE 4'!N17,IF(MAWA.ETWU!K4=94964,'ZONE 4'!N34,IF(MAWA.ETWU!K4=94973,'ZONE 4'!N17,IF(MAWA.ETWU!K4=94901,'ZONE 5'!N34,IF(MAWA.ETWU!K4=94903,'ZONE 5'!N34, 0))))))))</f>
        <v>0</v>
      </c>
      <c r="AC42" s="310"/>
      <c r="AD42" s="131"/>
      <c r="AE42" s="131"/>
      <c r="AF42" s="131"/>
      <c r="AG42" s="134"/>
      <c r="AH42" s="26"/>
      <c r="AI42" s="26"/>
      <c r="AJ42" s="26"/>
      <c r="AK42" s="26"/>
    </row>
    <row r="43" spans="1:37" ht="10.9" customHeight="1" x14ac:dyDescent="0.2">
      <c r="A43" s="131"/>
      <c r="B43" s="372" t="s">
        <v>9</v>
      </c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14"/>
      <c r="AD43" s="131"/>
      <c r="AE43" s="131"/>
      <c r="AF43" s="131"/>
      <c r="AG43" s="134"/>
      <c r="AH43" s="26"/>
      <c r="AI43" s="26"/>
      <c r="AJ43" s="26"/>
      <c r="AK43" s="26"/>
    </row>
    <row r="44" spans="1:37" ht="10.9" customHeight="1" thickBot="1" x14ac:dyDescent="0.25">
      <c r="A44" s="131"/>
      <c r="B44" s="350" t="s">
        <v>10</v>
      </c>
      <c r="C44" s="351"/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51"/>
      <c r="Z44" s="351"/>
      <c r="AA44" s="351"/>
      <c r="AB44" s="351"/>
      <c r="AC44" s="89" t="s">
        <v>116</v>
      </c>
      <c r="AD44" s="131"/>
      <c r="AE44" s="131"/>
      <c r="AF44" s="131"/>
      <c r="AG44" s="134"/>
      <c r="AH44" s="26"/>
      <c r="AI44" s="26"/>
      <c r="AJ44" s="26"/>
      <c r="AK44" s="26"/>
    </row>
    <row r="45" spans="1:37" x14ac:dyDescent="0.2">
      <c r="A45" s="131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4"/>
      <c r="AH45" s="26"/>
      <c r="AI45" s="26"/>
      <c r="AJ45" s="26"/>
      <c r="AK45" s="26"/>
    </row>
    <row r="46" spans="1:37" x14ac:dyDescent="0.2">
      <c r="A46" s="131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4"/>
      <c r="AH46" s="26"/>
      <c r="AI46" s="26"/>
      <c r="AJ46" s="26"/>
      <c r="AK46" s="26"/>
    </row>
    <row r="47" spans="1:37" x14ac:dyDescent="0.2">
      <c r="A47" s="131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4"/>
      <c r="AH47" s="26"/>
      <c r="AI47" s="26"/>
      <c r="AJ47" s="26"/>
      <c r="AK47" s="26"/>
    </row>
    <row r="48" spans="1:37" s="1" customFormat="1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</row>
    <row r="49" spans="1:37" s="1" customFormat="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</row>
    <row r="50" spans="1:37" s="1" customFormat="1" x14ac:dyDescent="0.2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</row>
    <row r="51" spans="1:37" s="1" customFormat="1" x14ac:dyDescent="0.2"/>
    <row r="52" spans="1:37" s="1" customFormat="1" x14ac:dyDescent="0.2"/>
    <row r="53" spans="1:37" s="1" customFormat="1" x14ac:dyDescent="0.2"/>
    <row r="54" spans="1:37" s="1" customFormat="1" x14ac:dyDescent="0.2"/>
    <row r="55" spans="1:37" s="1" customFormat="1" x14ac:dyDescent="0.2"/>
    <row r="56" spans="1:37" s="1" customFormat="1" x14ac:dyDescent="0.2"/>
    <row r="57" spans="1:37" s="1" customFormat="1" x14ac:dyDescent="0.2"/>
    <row r="58" spans="1:37" s="1" customFormat="1" x14ac:dyDescent="0.2"/>
    <row r="59" spans="1:37" s="1" customFormat="1" ht="13.15" customHeight="1" x14ac:dyDescent="0.2"/>
    <row r="60" spans="1:37" s="1" customFormat="1" ht="13.15" customHeight="1" x14ac:dyDescent="0.2"/>
    <row r="61" spans="1:37" s="1" customFormat="1" x14ac:dyDescent="0.2"/>
    <row r="62" spans="1:37" s="1" customFormat="1" x14ac:dyDescent="0.2"/>
    <row r="63" spans="1:37" s="1" customFormat="1" x14ac:dyDescent="0.2"/>
    <row r="64" spans="1:37" s="1" customFormat="1" x14ac:dyDescent="0.2"/>
    <row r="65" s="1" customFormat="1" x14ac:dyDescent="0.2"/>
    <row r="66" s="1" customFormat="1" x14ac:dyDescent="0.2"/>
    <row r="67" s="1" customFormat="1" ht="13.15" customHeight="1" x14ac:dyDescent="0.2"/>
    <row r="68" s="1" customFormat="1" ht="13.15" customHeight="1" x14ac:dyDescent="0.2"/>
    <row r="69" s="1" customFormat="1" x14ac:dyDescent="0.2"/>
    <row r="70" s="1" customFormat="1" x14ac:dyDescent="0.2"/>
    <row r="71" s="1" customFormat="1" x14ac:dyDescent="0.2"/>
    <row r="72" s="1" customFormat="1" ht="13.15" customHeight="1" x14ac:dyDescent="0.2"/>
    <row r="73" s="1" customFormat="1" ht="13.15" customHeigh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</sheetData>
  <sheetProtection password="CC45" sheet="1" objects="1" scenarios="1"/>
  <protectedRanges>
    <protectedRange sqref="D15 K17" name="Range1_4"/>
  </protectedRanges>
  <mergeCells count="80">
    <mergeCell ref="Q40:U40"/>
    <mergeCell ref="V40:W40"/>
    <mergeCell ref="X40:AC40"/>
    <mergeCell ref="C13:AB13"/>
    <mergeCell ref="B43:AC43"/>
    <mergeCell ref="K17:O17"/>
    <mergeCell ref="T17:U17"/>
    <mergeCell ref="W17:X17"/>
    <mergeCell ref="T19:U19"/>
    <mergeCell ref="W19:X19"/>
    <mergeCell ref="C21:AB21"/>
    <mergeCell ref="K23:O23"/>
    <mergeCell ref="T23:U23"/>
    <mergeCell ref="V23:AB28"/>
    <mergeCell ref="K25:O25"/>
    <mergeCell ref="T25:U25"/>
    <mergeCell ref="B44:AB44"/>
    <mergeCell ref="B42:E42"/>
    <mergeCell ref="K4:M4"/>
    <mergeCell ref="N41:O41"/>
    <mergeCell ref="B41:E41"/>
    <mergeCell ref="T41:U41"/>
    <mergeCell ref="V41:W41"/>
    <mergeCell ref="R41:S41"/>
    <mergeCell ref="P41:Q41"/>
    <mergeCell ref="B39:AC39"/>
    <mergeCell ref="B40:E40"/>
    <mergeCell ref="F40:H40"/>
    <mergeCell ref="I40:M40"/>
    <mergeCell ref="N40:P40"/>
    <mergeCell ref="H7:AB7"/>
    <mergeCell ref="H8:AB8"/>
    <mergeCell ref="G19:J19"/>
    <mergeCell ref="K19:O19"/>
    <mergeCell ref="K27:O27"/>
    <mergeCell ref="H9:AB9"/>
    <mergeCell ref="H10:AB10"/>
    <mergeCell ref="H11:AB11"/>
    <mergeCell ref="K15:O15"/>
    <mergeCell ref="T15:U15"/>
    <mergeCell ref="W15:X15"/>
    <mergeCell ref="T27:U27"/>
    <mergeCell ref="K29:O29"/>
    <mergeCell ref="D31:J32"/>
    <mergeCell ref="K31:O32"/>
    <mergeCell ref="W36:AA37"/>
    <mergeCell ref="G37:J37"/>
    <mergeCell ref="K37:O37"/>
    <mergeCell ref="D34:J34"/>
    <mergeCell ref="K34:L34"/>
    <mergeCell ref="M34:O34"/>
    <mergeCell ref="D35:J35"/>
    <mergeCell ref="K35:L35"/>
    <mergeCell ref="M35:O35"/>
    <mergeCell ref="D33:J33"/>
    <mergeCell ref="K33:L33"/>
    <mergeCell ref="M33:O33"/>
    <mergeCell ref="X42:Y42"/>
    <mergeCell ref="V42:W42"/>
    <mergeCell ref="T42:U42"/>
    <mergeCell ref="R42:S42"/>
    <mergeCell ref="AB41:AC41"/>
    <mergeCell ref="Z41:AA41"/>
    <mergeCell ref="X41:Y41"/>
    <mergeCell ref="C2:AB2"/>
    <mergeCell ref="N3:O3"/>
    <mergeCell ref="N4:O4"/>
    <mergeCell ref="T4:U4"/>
    <mergeCell ref="AB42:AC42"/>
    <mergeCell ref="P42:Q42"/>
    <mergeCell ref="N42:O42"/>
    <mergeCell ref="L42:M42"/>
    <mergeCell ref="J42:K42"/>
    <mergeCell ref="H42:I42"/>
    <mergeCell ref="F42:G42"/>
    <mergeCell ref="L41:M41"/>
    <mergeCell ref="J41:K41"/>
    <mergeCell ref="H41:I41"/>
    <mergeCell ref="F41:G41"/>
    <mergeCell ref="Z42:AA42"/>
  </mergeCells>
  <dataValidations count="4">
    <dataValidation type="list" allowBlank="1" showInputMessage="1" showErrorMessage="1" sqref="T4:U4">
      <formula1>$X$3:$X$5</formula1>
    </dataValidation>
    <dataValidation type="list" allowBlank="1" showInputMessage="1" showErrorMessage="1" sqref="K4:M4">
      <formula1>$AH$2:$AH$18</formula1>
    </dataValidation>
    <dataValidation type="list" allowBlank="1" showInputMessage="1" showErrorMessage="1" sqref="V4">
      <formula1>Residential?</formula1>
    </dataValidation>
    <dataValidation type="list" allowBlank="1" showInputMessage="1" showErrorMessage="1" sqref="K29:O29">
      <formula1>Comm.Efficiency.Factor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INFO</vt:lpstr>
      <vt:lpstr>MAWA.ETWU</vt:lpstr>
      <vt:lpstr>ZONE 1</vt:lpstr>
      <vt:lpstr>ZONE 4</vt:lpstr>
      <vt:lpstr>ZONE 5</vt:lpstr>
      <vt:lpstr>City-Zip Codes</vt:lpstr>
      <vt:lpstr>MAWA.ETWU Monthly</vt:lpstr>
      <vt:lpstr>Comm.Efficiency.Factor</vt:lpstr>
      <vt:lpstr>Efficiency.Factor</vt:lpstr>
      <vt:lpstr>MAWA.ETWU!Print_Area</vt:lpstr>
      <vt:lpstr>'MAWA.ETWU Monthly'!Print_Area</vt:lpstr>
      <vt:lpstr>Residential?</vt:lpstr>
      <vt:lpstr>ZipCode</vt:lpstr>
      <vt:lpstr>ZipCodes</vt:lpstr>
    </vt:vector>
  </TitlesOfParts>
  <Company>Marin Municipal Water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k_bancro</dc:creator>
  <cp:lastModifiedBy>Emma Detwiler</cp:lastModifiedBy>
  <cp:lastPrinted>2016-05-31T22:55:09Z</cp:lastPrinted>
  <dcterms:created xsi:type="dcterms:W3CDTF">2011-03-01T19:59:22Z</dcterms:created>
  <dcterms:modified xsi:type="dcterms:W3CDTF">2020-11-02T22:08:06Z</dcterms:modified>
</cp:coreProperties>
</file>