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mertens\Documents\"/>
    </mc:Choice>
  </mc:AlternateContent>
  <bookViews>
    <workbookView xWindow="0" yWindow="0" windowWidth="28800" windowHeight="11700"/>
  </bookViews>
  <sheets>
    <sheet name="effective July 2022" sheetId="1" r:id="rId1"/>
    <sheet name="Sheet2" sheetId="2" state="hidden" r:id="rId2"/>
    <sheet name="_SSC" sheetId="4" state="veryHidden" r:id="rId3"/>
    <sheet name="effective July 20" sheetId="5" state="hidden" r:id="rId4"/>
  </sheets>
  <externalReferences>
    <externalReference r:id="rId5"/>
  </externalReferences>
  <definedNames>
    <definedName name="Cum_T1">'effective July 2022'!$I$20</definedName>
    <definedName name="Cuml_T1">'effective July 20'!$I$19</definedName>
    <definedName name="Curr_T1">'effective July 2022'!$G$20</definedName>
    <definedName name="Curr_T2">'effective July 2022'!$G$21</definedName>
    <definedName name="Curr_T3">'effective July 2022'!$G$22</definedName>
    <definedName name="Curr_T4">'effective July 2022'!$G$23</definedName>
    <definedName name="July2017_T1">'effective July 20'!$G$19</definedName>
    <definedName name="July2017_T2">'effective July 20'!$G$20</definedName>
    <definedName name="July2017_T3">'effective July 20'!$G$21</definedName>
    <definedName name="July2017_T4">'effective July 20'!$G$22</definedName>
    <definedName name="July2018_T1">'effective July 20'!$J$19</definedName>
    <definedName name="July2018_T2">'effective July 20'!$J$20</definedName>
    <definedName name="July2018_T3">'effective July 20'!$J$21</definedName>
    <definedName name="July2018_T4">'effective July 20'!$J$22</definedName>
    <definedName name="Meter_current">'effective July 2022'!$C$6:$D$16</definedName>
    <definedName name="Meter_Size">'effective July 2022'!$C$6:$C$16</definedName>
    <definedName name="Meters">Sheet2!$B$7:$B$16</definedName>
    <definedName name="_xlnm.Print_Area" localSheetId="0">'effective July 2022'!$A$27:$I$54</definedName>
    <definedName name="Program">[1]Sheet2!$B$19:$B$20</definedName>
    <definedName name="Programs">Sheet2!$B$19:$B$20</definedName>
    <definedName name="Proposed_T1">'effective July 2022'!$J$20</definedName>
    <definedName name="Proposed_T2">'effective July 2022'!$J$21</definedName>
    <definedName name="Proposed_T3">'effective July 2022'!$J$22</definedName>
    <definedName name="Proposed_T4">'effective July 2022'!$J$23</definedName>
    <definedName name="Summer1_hi">'effective July 2022'!$N$20</definedName>
    <definedName name="Summer1_high">'effective July 20'!$N$19</definedName>
    <definedName name="Summer1_low">'effective July 2022'!$M$20</definedName>
    <definedName name="Summer1_lows">'effective July 20'!$M$19</definedName>
    <definedName name="Summer2_hi">'effective July 2022'!$N$21</definedName>
    <definedName name="Summer2_high">'effective July 20'!$N$20</definedName>
    <definedName name="Summer2_low">'effective July 2022'!$M$21</definedName>
    <definedName name="Summer2_lows">'effective July 20'!$M$20</definedName>
    <definedName name="Summer3_hi">'effective July 2022'!$N$22</definedName>
    <definedName name="Summer3_high">'effective July 20'!$N$21</definedName>
    <definedName name="Summer3_low">'effective July 2022'!$M$22</definedName>
    <definedName name="Summer3_lows">'effective July 20'!$M$21</definedName>
    <definedName name="Summer4_low">'effective July 2022'!$M$23</definedName>
    <definedName name="Summer4_lows">'effective July 20'!$M$22</definedName>
    <definedName name="Winter1_hi">'effective July 2022'!$E$20</definedName>
    <definedName name="Winter1_high">'effective July 20'!$E$19</definedName>
    <definedName name="Winter1_low">'effective July 2022'!$D$20</definedName>
    <definedName name="Winter1_lows">'effective July 20'!$D$19</definedName>
    <definedName name="Winter2_hi">'effective July 2022'!$E$21</definedName>
    <definedName name="Winter2_high">'effective July 20'!$E$20</definedName>
    <definedName name="Winter2_low">'effective July 2022'!$D$21</definedName>
    <definedName name="Winter2_lows">'effective July 20'!$D$20</definedName>
    <definedName name="Winter3_hi">'effective July 2022'!$E$22</definedName>
    <definedName name="Winter3_high">'effective July 20'!$E$21</definedName>
    <definedName name="Winter3_low">'effective July 2022'!$D$22</definedName>
    <definedName name="Winter3_lows">'effective July 20'!$D$21</definedName>
    <definedName name="Winter4_low">'effective July 2022'!$D$23</definedName>
    <definedName name="Winter4_lows">'effective July 20'!$D$22</definedName>
  </definedNames>
  <calcPr calcId="162913"/>
</workbook>
</file>

<file path=xl/calcChain.xml><?xml version="1.0" encoding="utf-8"?>
<calcChain xmlns="http://schemas.openxmlformats.org/spreadsheetml/2006/main">
  <c r="D45" i="1" l="1"/>
  <c r="D50" i="1" l="1"/>
  <c r="P23" i="1" l="1"/>
  <c r="P22" i="1"/>
  <c r="P21" i="1"/>
  <c r="P20" i="1"/>
  <c r="P18" i="1"/>
  <c r="O21" i="1"/>
  <c r="F22" i="1"/>
  <c r="K22" i="1" s="1"/>
  <c r="F21" i="1"/>
  <c r="K21" i="1" s="1"/>
  <c r="H21" i="1" l="1"/>
  <c r="H22" i="1"/>
  <c r="F50" i="1"/>
  <c r="D48" i="1"/>
  <c r="F48" i="1" s="1"/>
  <c r="D47" i="1"/>
  <c r="F47" i="1" s="1"/>
  <c r="M16" i="1" l="1"/>
  <c r="M15" i="1"/>
  <c r="M14" i="1"/>
  <c r="M13" i="1"/>
  <c r="M12" i="1"/>
  <c r="M11" i="1"/>
  <c r="M10" i="1"/>
  <c r="M9" i="1"/>
  <c r="M8" i="1"/>
  <c r="M7" i="1"/>
  <c r="S18" i="1" l="1"/>
  <c r="G54" i="5" l="1"/>
  <c r="D54" i="5"/>
  <c r="G53" i="5"/>
  <c r="D53" i="5"/>
  <c r="I52" i="5"/>
  <c r="H52" i="5"/>
  <c r="G52" i="5"/>
  <c r="F52" i="5"/>
  <c r="E52" i="5"/>
  <c r="D52" i="5"/>
  <c r="H51" i="5"/>
  <c r="G51" i="5"/>
  <c r="E51" i="5"/>
  <c r="D51" i="5"/>
  <c r="H50" i="5"/>
  <c r="G50" i="5"/>
  <c r="E50" i="5"/>
  <c r="D50" i="5"/>
  <c r="H49" i="5"/>
  <c r="G49" i="5"/>
  <c r="E49" i="5"/>
  <c r="D49" i="5"/>
  <c r="G46" i="5"/>
  <c r="D46" i="5"/>
  <c r="G45" i="5"/>
  <c r="D45" i="5"/>
  <c r="S22" i="5"/>
  <c r="P22" i="5"/>
  <c r="O22" i="5"/>
  <c r="F22" i="5"/>
  <c r="U21" i="5"/>
  <c r="T21" i="5"/>
  <c r="S21" i="5"/>
  <c r="R21" i="5"/>
  <c r="Q21" i="5"/>
  <c r="P21" i="5"/>
  <c r="O21" i="5"/>
  <c r="L21" i="5"/>
  <c r="K21" i="5"/>
  <c r="I21" i="5"/>
  <c r="H21" i="5"/>
  <c r="F21" i="5"/>
  <c r="U20" i="5"/>
  <c r="T20" i="5"/>
  <c r="S20" i="5"/>
  <c r="R20" i="5"/>
  <c r="Q20" i="5"/>
  <c r="P20" i="5"/>
  <c r="O20" i="5"/>
  <c r="L20" i="5"/>
  <c r="K20" i="5"/>
  <c r="I20" i="5"/>
  <c r="H20" i="5"/>
  <c r="F20" i="5"/>
  <c r="U19" i="5"/>
  <c r="T19" i="5"/>
  <c r="S19" i="5"/>
  <c r="R19" i="5"/>
  <c r="Q19" i="5"/>
  <c r="P19" i="5"/>
  <c r="O19" i="5"/>
  <c r="L19" i="5"/>
  <c r="K19" i="5"/>
  <c r="I19" i="5"/>
  <c r="H19" i="5"/>
  <c r="F19" i="5"/>
  <c r="O15" i="5"/>
  <c r="N15" i="5"/>
  <c r="M15" i="5"/>
  <c r="L15" i="5"/>
  <c r="O14" i="5"/>
  <c r="N14" i="5"/>
  <c r="M14" i="5"/>
  <c r="L14" i="5"/>
  <c r="O13" i="5"/>
  <c r="N13" i="5"/>
  <c r="M13" i="5"/>
  <c r="L13" i="5"/>
  <c r="O12" i="5"/>
  <c r="N12" i="5"/>
  <c r="M12" i="5"/>
  <c r="L12" i="5"/>
  <c r="O11" i="5"/>
  <c r="N11" i="5"/>
  <c r="M11" i="5"/>
  <c r="L11" i="5"/>
  <c r="O10" i="5"/>
  <c r="N10" i="5"/>
  <c r="M10" i="5"/>
  <c r="L10" i="5"/>
  <c r="O9" i="5"/>
  <c r="N9" i="5"/>
  <c r="M9" i="5"/>
  <c r="L9" i="5"/>
  <c r="O8" i="5"/>
  <c r="N8" i="5"/>
  <c r="M8" i="5"/>
  <c r="L8" i="5"/>
  <c r="O7" i="5"/>
  <c r="N7" i="5"/>
  <c r="M7" i="5"/>
  <c r="L7" i="5"/>
  <c r="O6" i="5"/>
  <c r="N6" i="5"/>
  <c r="M6" i="5"/>
  <c r="L6" i="5"/>
  <c r="J5" i="5"/>
  <c r="I5" i="5"/>
  <c r="H5" i="5"/>
  <c r="F45" i="1"/>
  <c r="S23" i="1"/>
  <c r="S22" i="1"/>
  <c r="O22" i="1"/>
  <c r="S21" i="1"/>
  <c r="S20" i="1"/>
  <c r="O20" i="1"/>
  <c r="F20" i="1"/>
  <c r="J6" i="1"/>
  <c r="N6" i="1" s="1"/>
  <c r="I6" i="1"/>
  <c r="M6" i="1" s="1"/>
  <c r="H6" i="1"/>
  <c r="L6" i="1" s="1"/>
  <c r="F23" i="1" l="1"/>
  <c r="K20" i="1"/>
  <c r="L20" i="1" s="1"/>
  <c r="L21" i="1" s="1"/>
  <c r="H20" i="1"/>
  <c r="I20" i="1" s="1"/>
  <c r="I21" i="1" s="1"/>
  <c r="I22" i="1" s="1"/>
  <c r="Q22" i="1"/>
  <c r="T20" i="1"/>
  <c r="U20" i="1" s="1"/>
  <c r="T22" i="1"/>
  <c r="T21" i="1"/>
  <c r="Q20" i="1"/>
  <c r="R20" i="1" s="1"/>
  <c r="Q21" i="1"/>
  <c r="O23" i="1"/>
  <c r="F49" i="1" l="1"/>
  <c r="F51" i="1" s="1"/>
  <c r="L22" i="1"/>
  <c r="D49" i="1" s="1"/>
  <c r="U21" i="1"/>
  <c r="U22" i="1" s="1"/>
  <c r="R21" i="1"/>
  <c r="R22" i="1" s="1"/>
  <c r="D51" i="1" l="1"/>
</calcChain>
</file>

<file path=xl/sharedStrings.xml><?xml version="1.0" encoding="utf-8"?>
<sst xmlns="http://schemas.openxmlformats.org/spreadsheetml/2006/main" count="187" uniqueCount="89">
  <si>
    <t>Meter Size</t>
  </si>
  <si>
    <t>Current</t>
  </si>
  <si>
    <t>5/8”</t>
  </si>
  <si>
    <t>3/4"</t>
  </si>
  <si>
    <t>1"</t>
  </si>
  <si>
    <t>1.5"</t>
  </si>
  <si>
    <t>2"</t>
  </si>
  <si>
    <t>3"</t>
  </si>
  <si>
    <t>4"</t>
  </si>
  <si>
    <t>6"</t>
  </si>
  <si>
    <t>8"</t>
  </si>
  <si>
    <t>10”</t>
  </si>
  <si>
    <t>Winter</t>
  </si>
  <si>
    <t>Summer</t>
  </si>
  <si>
    <t>Difference</t>
  </si>
  <si>
    <t>Fixed Service Charge</t>
  </si>
  <si>
    <t>Watershed Management Fee</t>
  </si>
  <si>
    <t>Tier</t>
  </si>
  <si>
    <t>Cuml</t>
  </si>
  <si>
    <t>Watershed Fee</t>
  </si>
  <si>
    <t>Low Income Service Charge Waiver Program?</t>
  </si>
  <si>
    <t>Medically Disabled Program?</t>
  </si>
  <si>
    <t>Yes</t>
  </si>
  <si>
    <t>No</t>
  </si>
  <si>
    <t>Total Bill</t>
  </si>
  <si>
    <t>Difference Per Month</t>
  </si>
  <si>
    <t>December - May</t>
  </si>
  <si>
    <t xml:space="preserve">Summer   </t>
  </si>
  <si>
    <t>June - November</t>
  </si>
  <si>
    <t>Are you enrolled in any  Customer Assistance Programs?</t>
  </si>
  <si>
    <t>Commodity Tier Rates - Based on Usage</t>
  </si>
  <si>
    <t>OR</t>
  </si>
  <si>
    <t>Gallons per Day</t>
  </si>
  <si>
    <t>How much do I use in gallons?</t>
  </si>
  <si>
    <t>Step 1 -</t>
  </si>
  <si>
    <t>Step 2 -</t>
  </si>
  <si>
    <t>Step 3 -</t>
  </si>
  <si>
    <t>Fixed Service Charge Based on Meter Size</t>
  </si>
  <si>
    <t xml:space="preserve">Enter information in </t>
  </si>
  <si>
    <t>Tiers</t>
  </si>
  <si>
    <t>Chgs</t>
  </si>
  <si>
    <t>Tier Rates</t>
  </si>
  <si>
    <t>Tier Range CCF</t>
  </si>
  <si>
    <t>CCFs in Tier</t>
  </si>
  <si>
    <t>Enter your Bi-Monthly Usage in CCFs (1 CCF = 748 gallons)</t>
  </si>
  <si>
    <r>
      <t>What size is your meter?</t>
    </r>
    <r>
      <rPr>
        <b/>
        <sz val="12"/>
        <color theme="5" tint="-0.249977111117893"/>
        <rFont val="Calibri"/>
        <family val="2"/>
        <scheme val="minor"/>
      </rPr>
      <t xml:space="preserve"> </t>
    </r>
    <r>
      <rPr>
        <b/>
        <i/>
        <sz val="12"/>
        <color theme="5" tint="-0.249977111117893"/>
        <rFont val="Calibri"/>
        <family val="2"/>
        <scheme val="minor"/>
      </rPr>
      <t>Select from the drop down</t>
    </r>
  </si>
  <si>
    <t>Most residential customers have a 5/8" size meter</t>
  </si>
  <si>
    <t>{"IsHide":false,"SheetId":0,"Name":"Sheet1","HiddenRow":0,"VisibleRange":"","SheetTheme":{"TabColor":"","BodyColor":"","BodyImage":""}}</t>
  </si>
  <si>
    <t>{"IsHide":true,"SheetId":0,"Name":"Sheet2","HiddenRow":0,"VisibleRange":"","SheetTheme":{"TabColor":"","BodyColor":"","BodyImage":""}}</t>
  </si>
  <si>
    <t>{"IsHide":true,"SheetId":0,"Name":"Sheet3","HiddenRow":0,"VisibleRange":"","SheetTheme":{"TabColor":"","BodyColor":"","BodyImage":""}}</t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</si>
  <si>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required.","OkButton":"OK","DDLDefaultRequiredText":"Please Select"},"WizardButton":{"Next":"Next","Previous":"Previous","Cancel":"Cancel","Finish":"Finish"},"ToolbarButton":{"Submit":"Submit","Print":"Print","PrintAll":"Print All","Reset":"Reset","Update":"Update","Back":"Back"},"BrowserAndLocation":{"Browsers":[],"ConversionPath":"U:\\Converted Spreadsheets"},"AdvancedSettingsModels":[],"Dropbox":{"AccessToken":"","AccessSecret":""},"SpreadsheetServer":{"Username":"","Password":"","ServerUrl":""},"ConfigureSubmitDefault":{"Email":"edetwiler@marinwater.org"},"MessageBubble":{"Close":false,"TopMsg":0},"CustomizeTheme":{"Theme":""}}</t>
  </si>
  <si>
    <t>{"ButtonStyle":0,"Name":"","HideSscPoweredlogo":false,"LiveShare":{"Enable":true},"CopyProtect":{"IsEnabled":false,"DomainName":""},"Theme":{"BgColor":"#FFFFFFFF","BgImage":"","InputBorderStyle":2},"SmartphoneSettings":{"ViewportLock":true,"UseOldViewEngine":false,"EnableZoom":false,"EnableSwipe":false,"HideToolbar":false,"InheritBackgroundColor":false,"CheckboxFlavor":1,"ShowBubble":false},"SmartphoneTheme":1,"Layout":0,"LayoutConfig":{"IsSamePagesHeight":false},"InputDetection":0,"Toolbar":{"Position":1,"IsSubmit":true,"IsPrint":true,"IsPrintAll":false,"IsReset":true,"IsUpdate":true},"AspnetConfig":{"BrowseUrl":"http://localhost/ssc","FileExtension":0},"NodejsConfig":{"LocalPort":3000},"ConfigureSubmit":{"IsShowCaptcha":false,"IsUseSscWebServer":true,"ReceiverCode":"edetwiler@marinwater.org","IsFreeService":false,"IsAdvanceService":true,"IsDemonstrationService":false,"AfterSuccessfulSubmit":"","AfterFailSubmit":"","AfterCancelWizard":"","IsUseOwnWebServer":false,"OwnWebServerURL":"","OwnWebServerTarget":"","SubmitTarget":0},"Flavor":0,"Edition":3,"IgnoreBgInputCell":false,"ResponsiveDesignSetting":{"Disabled":false}}</t>
  </si>
  <si>
    <t>Increase in %</t>
  </si>
  <si>
    <t>FY18 Inc</t>
  </si>
  <si>
    <t>FY19 Inc</t>
  </si>
  <si>
    <t>5/8" meter: Min. 10CCF - 7.04%</t>
  </si>
  <si>
    <t>3/4" meter: Min 17CCF - 6.73%</t>
  </si>
  <si>
    <t>1" meter: Min 15CCF - 7.42% (need to be at least 19CCF)</t>
  </si>
  <si>
    <t>1.5" meter: Min 29CCF - 7.63% (need to be at least 60CCF)</t>
  </si>
  <si>
    <t>2" meter: Min 100CCF - 4.42% (winter) or 6.11% (summer)</t>
  </si>
  <si>
    <t>3" meter: Min 100CCF - 5.36% (winter) or 6.95% (summer)</t>
  </si>
  <si>
    <t>8" meter: Min 100CCF - 5.36% (winter) or 6.95% (summer)</t>
  </si>
  <si>
    <t>10" meter: Min 100CCF - 5.36% (winter) or 6.95% (summer)</t>
  </si>
  <si>
    <t>4" meter: Min 110CCF - 5.71% (winter) or 6.88% (summer)</t>
  </si>
  <si>
    <t>6" meter: Min 250CCF - 3.73% (winter) or 4.02% (summer)</t>
  </si>
  <si>
    <t>FY 2020</t>
  </si>
  <si>
    <t>FY 2021</t>
  </si>
  <si>
    <t>2019 Proposed Rates</t>
  </si>
  <si>
    <t xml:space="preserve">2020 Rates - Bill Calculator </t>
  </si>
  <si>
    <t>To compare Proposed 2019 rates to Proposed 2020 rates, please input the following:</t>
  </si>
  <si>
    <t>2020 Proposed Rates</t>
  </si>
  <si>
    <t>Fixed Base Water Charge - Based on Meter Size</t>
  </si>
  <si>
    <t>Water Service Tier Charges - Based on Usage</t>
  </si>
  <si>
    <t xml:space="preserve">Rate Calculator </t>
  </si>
  <si>
    <t>To calculate your water bill, please input the following information in:</t>
  </si>
  <si>
    <t>Average Gallons per Day</t>
  </si>
  <si>
    <t>Step 1.</t>
  </si>
  <si>
    <t>Step 2.</t>
  </si>
  <si>
    <t>Step 3.</t>
  </si>
  <si>
    <t>Are you enrolled in any Customer Assistance Programs?</t>
  </si>
  <si>
    <r>
      <t xml:space="preserve">What size is your meter? </t>
    </r>
    <r>
      <rPr>
        <b/>
        <i/>
        <sz val="16"/>
        <color theme="5"/>
        <rFont val="Calibri"/>
        <family val="2"/>
        <scheme val="minor"/>
      </rPr>
      <t>Select from the drop down list:</t>
    </r>
  </si>
  <si>
    <t>Enter your bimonthly usage in units*
*1 unit or CCF (hundred cubic feet) = 748 gallons</t>
  </si>
  <si>
    <t>Total</t>
  </si>
  <si>
    <t>Blue Fields</t>
  </si>
  <si>
    <t>FY 2021 (4/9/21)</t>
  </si>
  <si>
    <t>CMF - Bi Monthly</t>
  </si>
  <si>
    <t>Bi-Monthly Capital Maintenance Fee (CMF)</t>
  </si>
  <si>
    <t>FY 2022 (7/5/21)</t>
  </si>
  <si>
    <t>FY 2023 (7/1/22)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</si>
</sst>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95959"/>
      <name val="Tw Cen MT"/>
      <family val="2"/>
    </font>
    <font>
      <b/>
      <sz val="11"/>
      <color rgb="FF595959"/>
      <name val="Tw Cen MT"/>
      <family val="2"/>
    </font>
    <font>
      <sz val="1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66"/>
      <name val="Calibri"/>
      <family val="2"/>
      <scheme val="minor"/>
    </font>
    <font>
      <b/>
      <sz val="16"/>
      <color rgb="FF000066"/>
      <name val="Calibri"/>
      <family val="2"/>
      <scheme val="minor"/>
    </font>
    <font>
      <b/>
      <sz val="13"/>
      <color rgb="FF000066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24"/>
      <color theme="5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i/>
      <sz val="16"/>
      <color theme="5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i/>
      <sz val="12"/>
      <color theme="5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theme="3" tint="0.39994506668294322"/>
      </right>
      <top style="thin">
        <color rgb="FF0000CC"/>
      </top>
      <bottom style="medium">
        <color auto="1"/>
      </bottom>
      <diagonal/>
    </border>
    <border>
      <left style="thin">
        <color theme="3" tint="0.39994506668294322"/>
      </left>
      <right style="thin">
        <color rgb="FF0000CC"/>
      </right>
      <top style="thin">
        <color rgb="FF0000CC"/>
      </top>
      <bottom style="medium">
        <color auto="1"/>
      </bottom>
      <diagonal/>
    </border>
    <border>
      <left style="medium">
        <color auto="1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auto="1"/>
      </right>
      <top/>
      <bottom style="medium">
        <color rgb="FF0000CC"/>
      </bottom>
      <diagonal/>
    </border>
    <border>
      <left style="medium">
        <color auto="1"/>
      </left>
      <right/>
      <top style="medium">
        <color rgb="FF0000CC"/>
      </top>
      <bottom style="medium">
        <color rgb="FF0000CC"/>
      </bottom>
      <diagonal/>
    </border>
    <border>
      <left/>
      <right/>
      <top style="medium">
        <color rgb="FF0000CC"/>
      </top>
      <bottom style="medium">
        <color rgb="FF0000CC"/>
      </bottom>
      <diagonal/>
    </border>
    <border>
      <left/>
      <right style="medium">
        <color auto="1"/>
      </right>
      <top style="medium">
        <color rgb="FF0000CC"/>
      </top>
      <bottom style="medium">
        <color rgb="FF0000CC"/>
      </bottom>
      <diagonal/>
    </border>
    <border>
      <left style="medium">
        <color auto="1"/>
      </left>
      <right style="thin">
        <color theme="3" tint="0.39994506668294322"/>
      </right>
      <top/>
      <bottom style="thin">
        <color rgb="FF0000CC"/>
      </bottom>
      <diagonal/>
    </border>
    <border>
      <left style="thin">
        <color theme="3" tint="0.39994506668294322"/>
      </left>
      <right style="thin">
        <color rgb="FF0000CC"/>
      </right>
      <top/>
      <bottom style="thin">
        <color rgb="FF0000CC"/>
      </bottom>
      <diagonal/>
    </border>
    <border>
      <left style="thin">
        <color rgb="FF0000CC"/>
      </left>
      <right style="thin">
        <color rgb="FF0000CC"/>
      </right>
      <top style="medium">
        <color rgb="FF0000CC"/>
      </top>
      <bottom style="thin">
        <color rgb="FF0000CC"/>
      </bottom>
      <diagonal/>
    </border>
    <border>
      <left style="medium">
        <color auto="1"/>
      </left>
      <right style="thin">
        <color rgb="FF0000CC"/>
      </right>
      <top style="thin">
        <color rgb="FF0000CC"/>
      </top>
      <bottom style="thin">
        <color rgb="FF0000CC"/>
      </bottom>
      <diagonal/>
    </border>
    <border>
      <left style="thin">
        <color rgb="FF0000CC"/>
      </left>
      <right style="thin">
        <color rgb="FF0000CC"/>
      </right>
      <top style="thin">
        <color rgb="FF0000CC"/>
      </top>
      <bottom style="thin">
        <color rgb="FF0000CC"/>
      </bottom>
      <diagonal/>
    </border>
    <border>
      <left style="thin">
        <color rgb="FF0000CC"/>
      </left>
      <right style="medium">
        <color auto="1"/>
      </right>
      <top style="thin">
        <color rgb="FF0000CC"/>
      </top>
      <bottom/>
      <diagonal/>
    </border>
    <border>
      <left style="thin">
        <color rgb="FF0000CC"/>
      </left>
      <right style="medium">
        <color auto="1"/>
      </right>
      <top/>
      <bottom/>
      <diagonal/>
    </border>
    <border>
      <left style="thin">
        <color rgb="FF0000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/>
      <right style="medium">
        <color rgb="FF000066"/>
      </right>
      <top style="medium">
        <color rgb="FF000066"/>
      </top>
      <bottom/>
      <diagonal/>
    </border>
    <border>
      <left/>
      <right style="medium">
        <color rgb="FF000066"/>
      </right>
      <top/>
      <bottom/>
      <diagonal/>
    </border>
    <border>
      <left/>
      <right style="medium">
        <color rgb="FF000066"/>
      </right>
      <top/>
      <bottom style="medium">
        <color rgb="FF0000CC"/>
      </bottom>
      <diagonal/>
    </border>
    <border>
      <left/>
      <right style="medium">
        <color rgb="FF000066"/>
      </right>
      <top style="medium">
        <color rgb="FF0000CC"/>
      </top>
      <bottom style="medium">
        <color rgb="FF0000CC"/>
      </bottom>
      <diagonal/>
    </border>
    <border>
      <left style="medium">
        <color auto="1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 style="medium">
        <color rgb="FF000066"/>
      </right>
      <top style="medium">
        <color rgb="FF0000CC"/>
      </top>
      <bottom/>
      <diagonal/>
    </border>
    <border>
      <left/>
      <right style="medium">
        <color auto="1"/>
      </right>
      <top style="thin">
        <color rgb="FF0000CC"/>
      </top>
      <bottom/>
      <diagonal/>
    </border>
    <border>
      <left style="medium">
        <color auto="1"/>
      </left>
      <right style="thin">
        <color theme="3" tint="0.39994506668294322"/>
      </right>
      <top style="thin">
        <color rgb="FF0000CC"/>
      </top>
      <bottom style="thin">
        <color rgb="FF0000CC"/>
      </bottom>
      <diagonal/>
    </border>
    <border>
      <left style="thin">
        <color theme="3" tint="0.39994506668294322"/>
      </left>
      <right style="thin">
        <color rgb="FF0000CC"/>
      </right>
      <top style="thin">
        <color rgb="FF0000CC"/>
      </top>
      <bottom style="thin">
        <color rgb="FF0000CC"/>
      </bottom>
      <diagonal/>
    </border>
    <border>
      <left style="medium">
        <color auto="1"/>
      </left>
      <right style="thin">
        <color theme="3" tint="0.39994506668294322"/>
      </right>
      <top style="thin">
        <color rgb="FF0000CC"/>
      </top>
      <bottom style="medium">
        <color rgb="FF000066"/>
      </bottom>
      <diagonal/>
    </border>
    <border>
      <left style="thin">
        <color theme="3" tint="0.39994506668294322"/>
      </left>
      <right style="thin">
        <color rgb="FF0000CC"/>
      </right>
      <top style="thin">
        <color rgb="FF0000CC"/>
      </top>
      <bottom style="medium">
        <color rgb="FF00006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0" xfId="0" applyFont="1" applyFill="1" applyAlignment="1"/>
    <xf numFmtId="0" fontId="2" fillId="0" borderId="0" xfId="0" applyFont="1"/>
    <xf numFmtId="43" fontId="0" fillId="0" borderId="0" xfId="1" applyFont="1" applyAlignment="1">
      <alignment horizontal="center" vertical="center" wrapText="1"/>
    </xf>
    <xf numFmtId="43" fontId="0" fillId="0" borderId="0" xfId="0" applyNumberForma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43" fontId="5" fillId="0" borderId="0" xfId="1" applyFont="1" applyBorder="1"/>
    <xf numFmtId="43" fontId="5" fillId="0" borderId="0" xfId="1" applyFont="1" applyBorder="1" applyAlignment="1">
      <alignment horizontal="right" vertical="center" wrapText="1"/>
    </xf>
    <xf numFmtId="0" fontId="0" fillId="0" borderId="0" xfId="0" applyFill="1"/>
    <xf numFmtId="43" fontId="0" fillId="0" borderId="0" xfId="1" applyFont="1" applyFill="1"/>
    <xf numFmtId="0" fontId="2" fillId="2" borderId="0" xfId="0" applyFont="1" applyFill="1" applyAlignment="1">
      <alignment horizontal="left"/>
    </xf>
    <xf numFmtId="7" fontId="0" fillId="0" borderId="0" xfId="0" applyNumberFormat="1"/>
    <xf numFmtId="0" fontId="0" fillId="0" borderId="0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7" fontId="0" fillId="5" borderId="5" xfId="1" applyNumberFormat="1" applyFont="1" applyFill="1" applyBorder="1"/>
    <xf numFmtId="7" fontId="0" fillId="5" borderId="0" xfId="1" applyNumberFormat="1" applyFont="1" applyFill="1" applyBorder="1"/>
    <xf numFmtId="7" fontId="0" fillId="5" borderId="6" xfId="1" applyNumberFormat="1" applyFont="1" applyFill="1" applyBorder="1"/>
    <xf numFmtId="7" fontId="0" fillId="5" borderId="7" xfId="1" applyNumberFormat="1" applyFont="1" applyFill="1" applyBorder="1"/>
    <xf numFmtId="7" fontId="0" fillId="5" borderId="10" xfId="1" applyNumberFormat="1" applyFont="1" applyFill="1" applyBorder="1"/>
    <xf numFmtId="7" fontId="0" fillId="5" borderId="8" xfId="1" applyNumberFormat="1" applyFont="1" applyFill="1" applyBorder="1"/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7" fontId="0" fillId="6" borderId="5" xfId="1" applyNumberFormat="1" applyFont="1" applyFill="1" applyBorder="1"/>
    <xf numFmtId="7" fontId="0" fillId="6" borderId="0" xfId="1" applyNumberFormat="1" applyFont="1" applyFill="1" applyBorder="1"/>
    <xf numFmtId="7" fontId="0" fillId="6" borderId="6" xfId="1" applyNumberFormat="1" applyFont="1" applyFill="1" applyBorder="1"/>
    <xf numFmtId="7" fontId="0" fillId="6" borderId="7" xfId="1" applyNumberFormat="1" applyFont="1" applyFill="1" applyBorder="1"/>
    <xf numFmtId="7" fontId="0" fillId="6" borderId="10" xfId="1" applyNumberFormat="1" applyFont="1" applyFill="1" applyBorder="1"/>
    <xf numFmtId="7" fontId="0" fillId="6" borderId="8" xfId="1" applyNumberFormat="1" applyFont="1" applyFill="1" applyBorder="1"/>
    <xf numFmtId="0" fontId="2" fillId="0" borderId="0" xfId="0" applyFont="1" applyAlignment="1">
      <alignment horizontal="right" indent="2"/>
    </xf>
    <xf numFmtId="0" fontId="11" fillId="0" borderId="0" xfId="0" applyFont="1" applyFill="1"/>
    <xf numFmtId="0" fontId="16" fillId="0" borderId="0" xfId="0" applyFont="1" applyFill="1"/>
    <xf numFmtId="0" fontId="10" fillId="0" borderId="0" xfId="0" applyFont="1" applyFill="1"/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" fillId="0" borderId="0" xfId="0" applyFont="1" applyFill="1"/>
    <xf numFmtId="0" fontId="12" fillId="0" borderId="0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indent="3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 indent="2"/>
    </xf>
    <xf numFmtId="0" fontId="0" fillId="0" borderId="0" xfId="0" applyFill="1" applyAlignment="1"/>
    <xf numFmtId="0" fontId="14" fillId="0" borderId="0" xfId="0" applyFont="1" applyFill="1" applyAlignment="1">
      <alignment horizontal="right" vertical="center" wrapText="1" indent="2"/>
    </xf>
    <xf numFmtId="0" fontId="6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right" vertical="center" wrapText="1" indent="2"/>
    </xf>
    <xf numFmtId="0" fontId="12" fillId="0" borderId="0" xfId="0" applyFont="1" applyFill="1" applyAlignment="1">
      <alignment horizontal="right" vertical="center" indent="2"/>
    </xf>
    <xf numFmtId="0" fontId="0" fillId="0" borderId="0" xfId="0" applyFill="1" applyAlignment="1">
      <alignment horizontal="left" vertical="center" wrapText="1"/>
    </xf>
    <xf numFmtId="43" fontId="0" fillId="0" borderId="0" xfId="1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indent="5"/>
    </xf>
    <xf numFmtId="0" fontId="8" fillId="0" borderId="0" xfId="0" applyFont="1" applyFill="1" applyAlignment="1">
      <alignment horizontal="left" vertical="center" wrapText="1" indent="3"/>
    </xf>
    <xf numFmtId="0" fontId="2" fillId="2" borderId="4" xfId="0" applyFont="1" applyFill="1" applyBorder="1" applyAlignment="1">
      <alignment horizontal="center"/>
    </xf>
    <xf numFmtId="14" fontId="18" fillId="2" borderId="3" xfId="0" applyNumberFormat="1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37" fontId="24" fillId="6" borderId="19" xfId="1" applyNumberFormat="1" applyFont="1" applyFill="1" applyBorder="1" applyAlignment="1">
      <alignment horizontal="center" vertical="center"/>
    </xf>
    <xf numFmtId="37" fontId="24" fillId="6" borderId="20" xfId="1" applyNumberFormat="1" applyFont="1" applyFill="1" applyBorder="1" applyAlignment="1">
      <alignment horizontal="center" vertical="center"/>
    </xf>
    <xf numFmtId="0" fontId="23" fillId="6" borderId="27" xfId="0" applyFont="1" applyFill="1" applyBorder="1" applyAlignment="1">
      <alignment horizontal="center" vertical="center" wrapText="1"/>
    </xf>
    <xf numFmtId="7" fontId="23" fillId="6" borderId="28" xfId="2" applyNumberFormat="1" applyFont="1" applyFill="1" applyBorder="1" applyAlignment="1">
      <alignment horizontal="right" vertical="center" wrapText="1"/>
    </xf>
    <xf numFmtId="7" fontId="23" fillId="6" borderId="29" xfId="2" applyNumberFormat="1" applyFont="1" applyFill="1" applyBorder="1" applyAlignment="1">
      <alignment horizontal="right" vertical="center" wrapText="1"/>
    </xf>
    <xf numFmtId="43" fontId="23" fillId="6" borderId="28" xfId="2" applyNumberFormat="1" applyFont="1" applyFill="1" applyBorder="1" applyAlignment="1">
      <alignment horizontal="right" vertical="center" wrapText="1"/>
    </xf>
    <xf numFmtId="43" fontId="23" fillId="6" borderId="29" xfId="2" applyNumberFormat="1" applyFont="1" applyFill="1" applyBorder="1" applyAlignment="1">
      <alignment horizontal="right" vertical="center" wrapText="1"/>
    </xf>
    <xf numFmtId="43" fontId="23" fillId="6" borderId="28" xfId="1" applyNumberFormat="1" applyFont="1" applyFill="1" applyBorder="1" applyAlignment="1">
      <alignment horizontal="right" vertical="center"/>
    </xf>
    <xf numFmtId="43" fontId="23" fillId="6" borderId="29" xfId="1" applyNumberFormat="1" applyFont="1" applyFill="1" applyBorder="1" applyAlignment="1">
      <alignment horizontal="right" vertical="center"/>
    </xf>
    <xf numFmtId="7" fontId="23" fillId="6" borderId="28" xfId="2" applyNumberFormat="1" applyFont="1" applyFill="1" applyBorder="1" applyAlignment="1">
      <alignment vertical="center"/>
    </xf>
    <xf numFmtId="7" fontId="23" fillId="6" borderId="29" xfId="2" applyNumberFormat="1" applyFont="1" applyFill="1" applyBorder="1" applyAlignment="1">
      <alignment vertical="center"/>
    </xf>
    <xf numFmtId="37" fontId="11" fillId="9" borderId="19" xfId="1" applyNumberFormat="1" applyFont="1" applyFill="1" applyBorder="1" applyAlignment="1">
      <alignment horizontal="center" vertical="center"/>
    </xf>
    <xf numFmtId="37" fontId="11" fillId="9" borderId="20" xfId="1" applyNumberFormat="1" applyFont="1" applyFill="1" applyBorder="1" applyAlignment="1">
      <alignment horizontal="center" vertical="center"/>
    </xf>
    <xf numFmtId="0" fontId="25" fillId="9" borderId="21" xfId="0" applyFont="1" applyFill="1" applyBorder="1" applyAlignment="1">
      <alignment vertical="center"/>
    </xf>
    <xf numFmtId="0" fontId="23" fillId="9" borderId="27" xfId="0" applyFont="1" applyFill="1" applyBorder="1" applyAlignment="1">
      <alignment horizontal="center" vertical="center" wrapText="1"/>
    </xf>
    <xf numFmtId="7" fontId="23" fillId="9" borderId="28" xfId="2" applyNumberFormat="1" applyFont="1" applyFill="1" applyBorder="1" applyAlignment="1">
      <alignment horizontal="right" vertical="center" wrapText="1"/>
    </xf>
    <xf numFmtId="7" fontId="23" fillId="9" borderId="29" xfId="2" applyNumberFormat="1" applyFont="1" applyFill="1" applyBorder="1" applyAlignment="1">
      <alignment horizontal="right" vertical="center" wrapText="1"/>
    </xf>
    <xf numFmtId="43" fontId="23" fillId="9" borderId="28" xfId="2" applyNumberFormat="1" applyFont="1" applyFill="1" applyBorder="1" applyAlignment="1">
      <alignment horizontal="right" vertical="center"/>
    </xf>
    <xf numFmtId="43" fontId="23" fillId="9" borderId="29" xfId="2" applyNumberFormat="1" applyFont="1" applyFill="1" applyBorder="1" applyAlignment="1">
      <alignment horizontal="right" vertical="center"/>
    </xf>
    <xf numFmtId="43" fontId="23" fillId="9" borderId="28" xfId="1" applyNumberFormat="1" applyFont="1" applyFill="1" applyBorder="1" applyAlignment="1">
      <alignment horizontal="right" vertical="center"/>
    </xf>
    <xf numFmtId="43" fontId="23" fillId="9" borderId="29" xfId="1" applyNumberFormat="1" applyFont="1" applyFill="1" applyBorder="1" applyAlignment="1">
      <alignment horizontal="right" vertical="center"/>
    </xf>
    <xf numFmtId="7" fontId="23" fillId="9" borderId="28" xfId="2" applyNumberFormat="1" applyFont="1" applyFill="1" applyBorder="1" applyAlignment="1">
      <alignment vertical="center"/>
    </xf>
    <xf numFmtId="7" fontId="23" fillId="9" borderId="29" xfId="2" applyNumberFormat="1" applyFont="1" applyFill="1" applyBorder="1" applyAlignment="1">
      <alignment vertical="center"/>
    </xf>
    <xf numFmtId="0" fontId="0" fillId="6" borderId="37" xfId="0" applyFill="1" applyBorder="1"/>
    <xf numFmtId="10" fontId="5" fillId="0" borderId="0" xfId="3" applyNumberFormat="1" applyFont="1"/>
    <xf numFmtId="10" fontId="0" fillId="0" borderId="0" xfId="3" applyNumberFormat="1" applyFont="1"/>
    <xf numFmtId="0" fontId="0" fillId="0" borderId="0" xfId="0" applyBorder="1"/>
    <xf numFmtId="0" fontId="6" fillId="0" borderId="0" xfId="0" applyFont="1" applyFill="1" applyBorder="1" applyProtection="1"/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3" fontId="0" fillId="0" borderId="0" xfId="1" applyFont="1" applyBorder="1" applyAlignment="1">
      <alignment horizontal="center" vertical="center" wrapText="1"/>
    </xf>
    <xf numFmtId="0" fontId="28" fillId="12" borderId="0" xfId="0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0" fontId="21" fillId="12" borderId="0" xfId="0" applyFont="1" applyFill="1" applyBorder="1" applyAlignment="1" applyProtection="1">
      <alignment horizontal="center" vertical="center"/>
    </xf>
    <xf numFmtId="0" fontId="0" fillId="15" borderId="0" xfId="0" applyFill="1" applyBorder="1" applyProtection="1"/>
    <xf numFmtId="43" fontId="0" fillId="15" borderId="0" xfId="1" applyFont="1" applyFill="1" applyBorder="1" applyProtection="1"/>
    <xf numFmtId="43" fontId="0" fillId="15" borderId="0" xfId="1" applyFont="1" applyFill="1" applyBorder="1"/>
    <xf numFmtId="0" fontId="0" fillId="15" borderId="0" xfId="0" applyFill="1" applyBorder="1"/>
    <xf numFmtId="0" fontId="6" fillId="15" borderId="0" xfId="0" applyFont="1" applyFill="1" applyBorder="1" applyProtection="1"/>
    <xf numFmtId="0" fontId="6" fillId="15" borderId="0" xfId="0" applyFont="1" applyFill="1" applyBorder="1"/>
    <xf numFmtId="0" fontId="0" fillId="15" borderId="0" xfId="0" applyFill="1" applyBorder="1" applyProtection="1">
      <protection locked="0"/>
    </xf>
    <xf numFmtId="44" fontId="37" fillId="15" borderId="0" xfId="0" applyNumberFormat="1" applyFont="1" applyFill="1" applyBorder="1" applyAlignment="1">
      <alignment horizontal="left" vertical="center"/>
    </xf>
    <xf numFmtId="0" fontId="7" fillId="15" borderId="0" xfId="0" applyFont="1" applyFill="1" applyBorder="1" applyAlignment="1">
      <alignment vertical="center"/>
    </xf>
    <xf numFmtId="0" fontId="0" fillId="15" borderId="0" xfId="0" applyFill="1" applyBorder="1" applyAlignment="1">
      <alignment vertical="center"/>
    </xf>
    <xf numFmtId="0" fontId="8" fillId="15" borderId="0" xfId="0" applyFont="1" applyFill="1" applyBorder="1" applyAlignment="1">
      <alignment vertical="center" wrapText="1"/>
    </xf>
    <xf numFmtId="0" fontId="8" fillId="15" borderId="0" xfId="0" applyFont="1" applyFill="1" applyBorder="1" applyAlignment="1">
      <alignment horizontal="left" vertical="center" wrapText="1" indent="3"/>
    </xf>
    <xf numFmtId="164" fontId="0" fillId="15" borderId="0" xfId="0" applyNumberFormat="1" applyFill="1" applyBorder="1"/>
    <xf numFmtId="0" fontId="0" fillId="15" borderId="0" xfId="0" applyFill="1" applyBorder="1" applyAlignment="1">
      <alignment horizontal="center" vertical="center" wrapText="1"/>
    </xf>
    <xf numFmtId="7" fontId="21" fillId="15" borderId="0" xfId="2" applyNumberFormat="1" applyFont="1" applyFill="1" applyBorder="1" applyAlignment="1">
      <alignment horizontal="center" vertical="center" wrapText="1"/>
    </xf>
    <xf numFmtId="0" fontId="34" fillId="15" borderId="0" xfId="0" applyFont="1" applyFill="1" applyBorder="1" applyAlignment="1">
      <alignment horizontal="left" vertical="center" wrapText="1"/>
    </xf>
    <xf numFmtId="43" fontId="0" fillId="15" borderId="0" xfId="1" applyFon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/>
    </xf>
    <xf numFmtId="0" fontId="29" fillId="15" borderId="0" xfId="0" applyFont="1" applyFill="1" applyBorder="1" applyAlignment="1">
      <alignment horizontal="right" vertical="center" wrapText="1" indent="2"/>
    </xf>
    <xf numFmtId="7" fontId="21" fillId="15" borderId="0" xfId="2" applyNumberFormat="1" applyFont="1" applyFill="1" applyBorder="1" applyAlignment="1">
      <alignment vertical="center"/>
    </xf>
    <xf numFmtId="0" fontId="35" fillId="15" borderId="0" xfId="0" applyFont="1" applyFill="1" applyBorder="1" applyAlignment="1">
      <alignment horizontal="left" vertical="center" wrapText="1"/>
    </xf>
    <xf numFmtId="0" fontId="2" fillId="15" borderId="0" xfId="0" applyFont="1" applyFill="1" applyBorder="1" applyAlignment="1">
      <alignment horizontal="center" wrapText="1"/>
    </xf>
    <xf numFmtId="0" fontId="13" fillId="15" borderId="0" xfId="0" applyFont="1" applyFill="1" applyBorder="1" applyProtection="1"/>
    <xf numFmtId="0" fontId="16" fillId="15" borderId="0" xfId="0" applyFont="1" applyFill="1" applyBorder="1" applyProtection="1"/>
    <xf numFmtId="0" fontId="13" fillId="15" borderId="0" xfId="0" applyFont="1" applyFill="1" applyBorder="1" applyAlignment="1">
      <alignment horizontal="center" vertical="center"/>
    </xf>
    <xf numFmtId="0" fontId="0" fillId="15" borderId="0" xfId="0" applyFill="1" applyBorder="1" applyAlignment="1"/>
    <xf numFmtId="0" fontId="2" fillId="15" borderId="0" xfId="0" applyFont="1" applyFill="1" applyBorder="1"/>
    <xf numFmtId="43" fontId="5" fillId="15" borderId="0" xfId="1" applyFont="1" applyFill="1" applyBorder="1"/>
    <xf numFmtId="43" fontId="5" fillId="15" borderId="0" xfId="1" applyFont="1" applyFill="1" applyBorder="1" applyAlignment="1">
      <alignment horizontal="right" vertical="center" wrapText="1"/>
    </xf>
    <xf numFmtId="0" fontId="4" fillId="15" borderId="0" xfId="0" applyFont="1" applyFill="1" applyBorder="1" applyAlignment="1">
      <alignment horizontal="right" vertical="center" wrapText="1"/>
    </xf>
    <xf numFmtId="0" fontId="3" fillId="15" borderId="0" xfId="0" applyFont="1" applyFill="1" applyBorder="1" applyAlignment="1">
      <alignment horizontal="right" vertical="center" wrapText="1"/>
    </xf>
    <xf numFmtId="14" fontId="18" fillId="15" borderId="0" xfId="0" applyNumberFormat="1" applyFont="1" applyFill="1" applyBorder="1" applyAlignment="1">
      <alignment horizontal="center"/>
    </xf>
    <xf numFmtId="0" fontId="2" fillId="15" borderId="0" xfId="0" applyFont="1" applyFill="1" applyBorder="1" applyAlignment="1">
      <alignment horizontal="center"/>
    </xf>
    <xf numFmtId="0" fontId="17" fillId="15" borderId="0" xfId="0" applyFont="1" applyFill="1" applyBorder="1" applyAlignment="1"/>
    <xf numFmtId="0" fontId="2" fillId="15" borderId="0" xfId="0" applyFont="1" applyFill="1" applyBorder="1" applyAlignment="1"/>
    <xf numFmtId="14" fontId="2" fillId="15" borderId="0" xfId="0" applyNumberFormat="1" applyFont="1" applyFill="1" applyBorder="1" applyAlignment="1">
      <alignment horizontal="center"/>
    </xf>
    <xf numFmtId="0" fontId="2" fillId="15" borderId="0" xfId="0" applyFont="1" applyFill="1" applyBorder="1" applyAlignment="1">
      <alignment horizontal="right" indent="2"/>
    </xf>
    <xf numFmtId="0" fontId="2" fillId="15" borderId="0" xfId="0" applyFont="1" applyFill="1" applyBorder="1" applyAlignment="1">
      <alignment horizontal="left"/>
    </xf>
    <xf numFmtId="0" fontId="0" fillId="15" borderId="0" xfId="0" applyFill="1" applyBorder="1" applyAlignment="1">
      <alignment horizontal="center"/>
    </xf>
    <xf numFmtId="7" fontId="0" fillId="15" borderId="0" xfId="1" applyNumberFormat="1" applyFont="1" applyFill="1" applyBorder="1"/>
    <xf numFmtId="43" fontId="0" fillId="15" borderId="0" xfId="0" applyNumberFormat="1" applyFill="1" applyBorder="1"/>
    <xf numFmtId="0" fontId="10" fillId="15" borderId="0" xfId="0" applyFont="1" applyFill="1" applyBorder="1" applyProtection="1"/>
    <xf numFmtId="0" fontId="31" fillId="15" borderId="0" xfId="0" applyFont="1" applyFill="1" applyBorder="1" applyAlignment="1" applyProtection="1">
      <alignment horizontal="left" vertical="center"/>
    </xf>
    <xf numFmtId="0" fontId="29" fillId="15" borderId="0" xfId="0" applyFont="1" applyFill="1" applyBorder="1" applyAlignment="1">
      <alignment horizontal="right" vertical="center" indent="2"/>
    </xf>
    <xf numFmtId="0" fontId="6" fillId="15" borderId="0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right" vertical="center" indent="5"/>
    </xf>
    <xf numFmtId="0" fontId="7" fillId="15" borderId="0" xfId="0" applyFont="1" applyFill="1" applyBorder="1" applyAlignment="1">
      <alignment horizontal="left" vertical="center" indent="2"/>
    </xf>
    <xf numFmtId="0" fontId="7" fillId="15" borderId="0" xfId="0" applyFont="1" applyFill="1" applyBorder="1"/>
    <xf numFmtId="0" fontId="31" fillId="15" borderId="0" xfId="0" applyFont="1" applyFill="1" applyBorder="1" applyAlignment="1">
      <alignment horizontal="left" vertical="center"/>
    </xf>
    <xf numFmtId="0" fontId="6" fillId="15" borderId="0" xfId="0" applyFont="1" applyFill="1" applyBorder="1" applyAlignment="1">
      <alignment horizontal="right" vertical="center" wrapText="1"/>
    </xf>
    <xf numFmtId="0" fontId="31" fillId="15" borderId="0" xfId="0" applyFont="1" applyFill="1" applyBorder="1" applyAlignment="1">
      <alignment horizontal="left" vertical="center" wrapText="1"/>
    </xf>
    <xf numFmtId="0" fontId="33" fillId="15" borderId="0" xfId="0" applyFont="1" applyFill="1" applyBorder="1" applyAlignment="1">
      <alignment horizontal="right" vertical="center" indent="2"/>
    </xf>
    <xf numFmtId="0" fontId="20" fillId="15" borderId="0" xfId="0" applyFont="1" applyFill="1" applyBorder="1" applyAlignment="1">
      <alignment vertical="center" wrapText="1"/>
    </xf>
    <xf numFmtId="0" fontId="7" fillId="15" borderId="0" xfId="0" applyFont="1" applyFill="1" applyBorder="1" applyAlignment="1">
      <alignment horizontal="center" vertical="center"/>
    </xf>
    <xf numFmtId="0" fontId="38" fillId="15" borderId="0" xfId="0" applyFont="1" applyFill="1" applyBorder="1"/>
    <xf numFmtId="0" fontId="0" fillId="15" borderId="0" xfId="0" quotePrefix="1" applyFill="1" applyBorder="1"/>
    <xf numFmtId="0" fontId="30" fillId="15" borderId="0" xfId="0" applyFont="1" applyFill="1" applyBorder="1" applyAlignment="1" applyProtection="1">
      <alignment horizontal="center" vertical="center"/>
    </xf>
    <xf numFmtId="0" fontId="29" fillId="13" borderId="47" xfId="0" applyFont="1" applyFill="1" applyBorder="1" applyAlignment="1">
      <alignment horizontal="center" vertical="center" wrapText="1"/>
    </xf>
    <xf numFmtId="0" fontId="29" fillId="13" borderId="48" xfId="0" applyFont="1" applyFill="1" applyBorder="1" applyAlignment="1">
      <alignment horizontal="center" vertical="center" wrapText="1"/>
    </xf>
    <xf numFmtId="164" fontId="29" fillId="13" borderId="47" xfId="2" applyNumberFormat="1" applyFont="1" applyFill="1" applyBorder="1" applyAlignment="1">
      <alignment horizontal="center" vertical="center"/>
    </xf>
    <xf numFmtId="164" fontId="29" fillId="13" borderId="48" xfId="2" applyNumberFormat="1" applyFont="1" applyFill="1" applyBorder="1" applyAlignment="1">
      <alignment horizontal="center" vertical="center"/>
    </xf>
    <xf numFmtId="0" fontId="29" fillId="14" borderId="48" xfId="0" applyFont="1" applyFill="1" applyBorder="1" applyAlignment="1">
      <alignment horizontal="center" vertical="center" wrapText="1"/>
    </xf>
    <xf numFmtId="0" fontId="29" fillId="14" borderId="49" xfId="0" applyFont="1" applyFill="1" applyBorder="1" applyAlignment="1">
      <alignment horizontal="center" vertical="center" wrapText="1"/>
    </xf>
    <xf numFmtId="164" fontId="29" fillId="14" borderId="48" xfId="2" applyNumberFormat="1" applyFont="1" applyFill="1" applyBorder="1" applyAlignment="1">
      <alignment horizontal="center" vertical="center" wrapText="1"/>
    </xf>
    <xf numFmtId="164" fontId="29" fillId="14" borderId="49" xfId="2" applyNumberFormat="1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/>
    </xf>
    <xf numFmtId="0" fontId="17" fillId="15" borderId="0" xfId="0" applyFont="1" applyFill="1" applyBorder="1" applyAlignment="1">
      <alignment horizontal="left"/>
    </xf>
    <xf numFmtId="0" fontId="30" fillId="15" borderId="0" xfId="0" applyFont="1" applyFill="1" applyBorder="1" applyAlignment="1">
      <alignment horizontal="center" vertical="center"/>
    </xf>
    <xf numFmtId="0" fontId="30" fillId="15" borderId="0" xfId="0" applyFont="1" applyFill="1" applyBorder="1" applyAlignment="1">
      <alignment horizontal="center" vertical="top"/>
    </xf>
    <xf numFmtId="0" fontId="36" fillId="14" borderId="48" xfId="0" applyFont="1" applyFill="1" applyBorder="1" applyAlignment="1">
      <alignment horizontal="center" vertical="center" wrapText="1"/>
    </xf>
    <xf numFmtId="0" fontId="36" fillId="14" borderId="49" xfId="0" applyFont="1" applyFill="1" applyBorder="1" applyAlignment="1">
      <alignment horizontal="center" vertical="center" wrapText="1"/>
    </xf>
    <xf numFmtId="0" fontId="29" fillId="14" borderId="48" xfId="0" applyFont="1" applyFill="1" applyBorder="1" applyAlignment="1">
      <alignment horizontal="center" vertical="top" wrapText="1"/>
    </xf>
    <xf numFmtId="0" fontId="29" fillId="14" borderId="49" xfId="0" applyFont="1" applyFill="1" applyBorder="1" applyAlignment="1">
      <alignment horizontal="center" vertical="top" wrapText="1"/>
    </xf>
    <xf numFmtId="0" fontId="21" fillId="12" borderId="51" xfId="0" applyFont="1" applyFill="1" applyBorder="1" applyAlignment="1">
      <alignment horizontal="center" vertical="center"/>
    </xf>
    <xf numFmtId="0" fontId="21" fillId="12" borderId="52" xfId="0" applyFont="1" applyFill="1" applyBorder="1" applyAlignment="1">
      <alignment horizontal="center" vertical="center"/>
    </xf>
    <xf numFmtId="37" fontId="29" fillId="14" borderId="54" xfId="1" applyNumberFormat="1" applyFont="1" applyFill="1" applyBorder="1" applyAlignment="1">
      <alignment horizontal="center" vertical="center"/>
    </xf>
    <xf numFmtId="37" fontId="29" fillId="14" borderId="55" xfId="1" applyNumberFormat="1" applyFont="1" applyFill="1" applyBorder="1" applyAlignment="1">
      <alignment horizontal="center" vertical="center"/>
    </xf>
    <xf numFmtId="37" fontId="29" fillId="14" borderId="48" xfId="1" applyNumberFormat="1" applyFont="1" applyFill="1" applyBorder="1" applyAlignment="1">
      <alignment horizontal="center" vertical="center"/>
    </xf>
    <xf numFmtId="37" fontId="29" fillId="14" borderId="49" xfId="1" applyNumberFormat="1" applyFont="1" applyFill="1" applyBorder="1" applyAlignment="1">
      <alignment horizontal="center" vertical="center"/>
    </xf>
    <xf numFmtId="0" fontId="36" fillId="13" borderId="47" xfId="0" applyFont="1" applyFill="1" applyBorder="1" applyAlignment="1">
      <alignment horizontal="center" vertical="center" wrapText="1"/>
    </xf>
    <xf numFmtId="0" fontId="36" fillId="13" borderId="48" xfId="0" applyFont="1" applyFill="1" applyBorder="1" applyAlignment="1">
      <alignment horizontal="center" vertical="center" wrapText="1"/>
    </xf>
    <xf numFmtId="0" fontId="29" fillId="13" borderId="47" xfId="0" applyFont="1" applyFill="1" applyBorder="1" applyAlignment="1">
      <alignment horizontal="center" vertical="top" wrapText="1"/>
    </xf>
    <xf numFmtId="0" fontId="29" fillId="13" borderId="48" xfId="0" applyFont="1" applyFill="1" applyBorder="1" applyAlignment="1">
      <alignment horizontal="center" vertical="top" wrapText="1"/>
    </xf>
    <xf numFmtId="0" fontId="21" fillId="12" borderId="50" xfId="0" applyFont="1" applyFill="1" applyBorder="1" applyAlignment="1">
      <alignment horizontal="center" vertical="center"/>
    </xf>
    <xf numFmtId="37" fontId="29" fillId="13" borderId="53" xfId="1" applyNumberFormat="1" applyFont="1" applyFill="1" applyBorder="1" applyAlignment="1">
      <alignment horizontal="center" vertical="center"/>
    </xf>
    <xf numFmtId="37" fontId="29" fillId="13" borderId="54" xfId="1" applyNumberFormat="1" applyFont="1" applyFill="1" applyBorder="1" applyAlignment="1">
      <alignment horizontal="center" vertical="center"/>
    </xf>
    <xf numFmtId="37" fontId="29" fillId="13" borderId="47" xfId="1" applyNumberFormat="1" applyFont="1" applyFill="1" applyBorder="1" applyAlignment="1">
      <alignment horizontal="center" vertical="center"/>
    </xf>
    <xf numFmtId="37" fontId="29" fillId="13" borderId="48" xfId="1" applyNumberFormat="1" applyFont="1" applyFill="1" applyBorder="1" applyAlignment="1">
      <alignment horizontal="center" vertical="center"/>
    </xf>
    <xf numFmtId="164" fontId="33" fillId="13" borderId="56" xfId="2" applyNumberFormat="1" applyFont="1" applyFill="1" applyBorder="1" applyAlignment="1">
      <alignment horizontal="center" vertical="center"/>
    </xf>
    <xf numFmtId="164" fontId="33" fillId="13" borderId="53" xfId="2" applyNumberFormat="1" applyFont="1" applyFill="1" applyBorder="1" applyAlignment="1">
      <alignment horizontal="center" vertical="center"/>
    </xf>
    <xf numFmtId="164" fontId="29" fillId="14" borderId="48" xfId="1" applyNumberFormat="1" applyFont="1" applyFill="1" applyBorder="1" applyAlignment="1">
      <alignment horizontal="center" vertical="center"/>
    </xf>
    <xf numFmtId="164" fontId="29" fillId="14" borderId="49" xfId="1" applyNumberFormat="1" applyFont="1" applyFill="1" applyBorder="1" applyAlignment="1">
      <alignment horizontal="center" vertical="center"/>
    </xf>
    <xf numFmtId="164" fontId="33" fillId="14" borderId="54" xfId="2" applyNumberFormat="1" applyFont="1" applyFill="1" applyBorder="1" applyAlignment="1">
      <alignment horizontal="center" vertical="center"/>
    </xf>
    <xf numFmtId="164" fontId="33" fillId="14" borderId="55" xfId="2" applyNumberFormat="1" applyFont="1" applyFill="1" applyBorder="1" applyAlignment="1">
      <alignment horizontal="center" vertical="center"/>
    </xf>
    <xf numFmtId="164" fontId="29" fillId="13" borderId="47" xfId="2" applyNumberFormat="1" applyFont="1" applyFill="1" applyBorder="1" applyAlignment="1">
      <alignment horizontal="center" vertical="center" wrapText="1"/>
    </xf>
    <xf numFmtId="164" fontId="29" fillId="13" borderId="48" xfId="2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7" fontId="23" fillId="6" borderId="43" xfId="2" applyNumberFormat="1" applyFont="1" applyFill="1" applyBorder="1" applyAlignment="1">
      <alignment horizontal="center" vertical="center" wrapText="1"/>
    </xf>
    <xf numFmtId="7" fontId="23" fillId="6" borderId="44" xfId="2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7" fillId="2" borderId="6" xfId="0" applyFont="1" applyFill="1" applyBorder="1" applyAlignment="1">
      <alignment horizontal="center"/>
    </xf>
    <xf numFmtId="7" fontId="23" fillId="9" borderId="25" xfId="2" applyNumberFormat="1" applyFont="1" applyFill="1" applyBorder="1" applyAlignment="1">
      <alignment horizontal="center" vertical="center" wrapText="1"/>
    </xf>
    <xf numFmtId="7" fontId="23" fillId="9" borderId="26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10" fontId="25" fillId="11" borderId="42" xfId="3" applyNumberFormat="1" applyFont="1" applyFill="1" applyBorder="1" applyAlignment="1">
      <alignment horizontal="center" vertical="center"/>
    </xf>
    <xf numFmtId="10" fontId="25" fillId="11" borderId="31" xfId="3" applyNumberFormat="1" applyFont="1" applyFill="1" applyBorder="1" applyAlignment="1">
      <alignment horizontal="center" vertical="center"/>
    </xf>
    <xf numFmtId="10" fontId="25" fillId="11" borderId="32" xfId="3" applyNumberFormat="1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10" fontId="25" fillId="11" borderId="30" xfId="3" applyNumberFormat="1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37" fontId="12" fillId="9" borderId="15" xfId="1" applyNumberFormat="1" applyFont="1" applyFill="1" applyBorder="1" applyAlignment="1">
      <alignment horizontal="center" vertical="center"/>
    </xf>
    <xf numFmtId="37" fontId="12" fillId="9" borderId="0" xfId="1" applyNumberFormat="1" applyFont="1" applyFill="1" applyBorder="1" applyAlignment="1">
      <alignment horizontal="center" vertical="center"/>
    </xf>
    <xf numFmtId="37" fontId="12" fillId="9" borderId="16" xfId="1" applyNumberFormat="1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7" fontId="23" fillId="6" borderId="45" xfId="2" applyNumberFormat="1" applyFont="1" applyFill="1" applyBorder="1" applyAlignment="1">
      <alignment horizontal="center" vertical="center" wrapText="1"/>
    </xf>
    <xf numFmtId="7" fontId="23" fillId="6" borderId="46" xfId="2" applyNumberFormat="1" applyFont="1" applyFill="1" applyBorder="1" applyAlignment="1">
      <alignment horizontal="center" vertical="center" wrapText="1"/>
    </xf>
    <xf numFmtId="7" fontId="23" fillId="9" borderId="17" xfId="2" applyNumberFormat="1" applyFont="1" applyFill="1" applyBorder="1" applyAlignment="1">
      <alignment horizontal="center" vertical="center" wrapText="1"/>
    </xf>
    <xf numFmtId="7" fontId="23" fillId="9" borderId="18" xfId="2" applyNumberFormat="1" applyFont="1" applyFill="1" applyBorder="1" applyAlignment="1">
      <alignment horizontal="center" vertical="center" wrapText="1"/>
    </xf>
    <xf numFmtId="0" fontId="22" fillId="10" borderId="19" xfId="0" applyFont="1" applyFill="1" applyBorder="1" applyAlignment="1">
      <alignment horizontal="center" vertical="center" wrapText="1"/>
    </xf>
    <xf numFmtId="0" fontId="22" fillId="10" borderId="20" xfId="0" applyFont="1" applyFill="1" applyBorder="1" applyAlignment="1">
      <alignment horizontal="center" vertical="center" wrapText="1"/>
    </xf>
    <xf numFmtId="0" fontId="22" fillId="10" borderId="37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37" fontId="23" fillId="6" borderId="39" xfId="1" applyNumberFormat="1" applyFont="1" applyFill="1" applyBorder="1" applyAlignment="1">
      <alignment horizontal="center" vertical="center"/>
    </xf>
    <xf numFmtId="37" fontId="23" fillId="6" borderId="40" xfId="1" applyNumberFormat="1" applyFont="1" applyFill="1" applyBorder="1" applyAlignment="1">
      <alignment horizontal="center" vertical="center"/>
    </xf>
    <xf numFmtId="37" fontId="23" fillId="6" borderId="41" xfId="1" applyNumberFormat="1" applyFont="1" applyFill="1" applyBorder="1" applyAlignment="1">
      <alignment horizontal="center" vertical="center"/>
    </xf>
    <xf numFmtId="37" fontId="23" fillId="6" borderId="15" xfId="1" applyNumberFormat="1" applyFont="1" applyFill="1" applyBorder="1" applyAlignment="1">
      <alignment horizontal="center" vertical="center"/>
    </xf>
    <xf numFmtId="37" fontId="23" fillId="6" borderId="0" xfId="1" applyNumberFormat="1" applyFont="1" applyFill="1" applyBorder="1" applyAlignment="1">
      <alignment horizontal="center" vertical="center"/>
    </xf>
    <xf numFmtId="37" fontId="23" fillId="6" borderId="36" xfId="1" applyNumberFormat="1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00"/>
      <color rgb="FF006600"/>
      <color rgb="FF3366CC"/>
      <color rgb="FF0000CC"/>
      <color rgb="FF000066"/>
      <color rgb="FF009999"/>
      <color rgb="FF0066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cid:image001.png@01D72BBD.E67DB3D0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7819</xdr:colOff>
      <xdr:row>26</xdr:row>
      <xdr:rowOff>152400</xdr:rowOff>
    </xdr:from>
    <xdr:to>
      <xdr:col>2</xdr:col>
      <xdr:colOff>506948</xdr:colOff>
      <xdr:row>29</xdr:row>
      <xdr:rowOff>87630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9" y="5212080"/>
          <a:ext cx="1878349" cy="9029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29632</xdr:rowOff>
    </xdr:from>
    <xdr:to>
      <xdr:col>8</xdr:col>
      <xdr:colOff>687917</xdr:colOff>
      <xdr:row>65</xdr:row>
      <xdr:rowOff>74547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95632"/>
          <a:ext cx="10953750" cy="61641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19</xdr:col>
      <xdr:colOff>314325</xdr:colOff>
      <xdr:row>15</xdr:row>
      <xdr:rowOff>76200</xdr:rowOff>
    </xdr:to>
    <xdr:pic>
      <xdr:nvPicPr>
        <xdr:cNvPr id="6" name="Picture 5" descr="cid:image001.png@01D72BBD.E67DB3D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25" y="0"/>
          <a:ext cx="2752725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885824</xdr:colOff>
      <xdr:row>31</xdr:row>
      <xdr:rowOff>19050</xdr:rowOff>
    </xdr:from>
    <xdr:to>
      <xdr:col>2</xdr:col>
      <xdr:colOff>1562099</xdr:colOff>
      <xdr:row>32</xdr:row>
      <xdr:rowOff>19050</xdr:rowOff>
    </xdr:to>
    <xdr:sp macro="" textlink="">
      <xdr:nvSpPr>
        <xdr:cNvPr id="2" name="TextBox 1"/>
        <xdr:cNvSpPr txBox="1"/>
      </xdr:nvSpPr>
      <xdr:spPr>
        <a:xfrm>
          <a:off x="1830704" y="5688330"/>
          <a:ext cx="0" cy="18288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400" b="1"/>
            <a:t>areas</a:t>
          </a:r>
        </a:p>
      </xdr:txBody>
    </xdr:sp>
    <xdr:clientData/>
  </xdr:twoCellAnchor>
  <xdr:oneCellAnchor>
    <xdr:from>
      <xdr:col>0</xdr:col>
      <xdr:colOff>198121</xdr:colOff>
      <xdr:row>25</xdr:row>
      <xdr:rowOff>52850</xdr:rowOff>
    </xdr:from>
    <xdr:ext cx="990600" cy="700247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4624850"/>
          <a:ext cx="990600" cy="4945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ADMIN/2017%20Rate%20Study%20Update/Bill%20Calculator%202017%20&amp;%202018%20updated%202-1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ective 7-1-18"/>
      <sheetName val="Sheet2"/>
      <sheetName val="_SSC"/>
      <sheetName val="Sheet3"/>
    </sheetNames>
    <sheetDataSet>
      <sheetData sheetId="0"/>
      <sheetData sheetId="1">
        <row r="19">
          <cell r="B19" t="str">
            <v>Yes</v>
          </cell>
        </row>
        <row r="20">
          <cell r="B20" t="str">
            <v>No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Composite">
  <a:themeElements>
    <a:clrScheme name="Custom 3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24643F"/>
      </a:accent1>
      <a:accent2>
        <a:srgbClr val="0071B5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Composit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mpos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5000"/>
                <a:satMod val="300000"/>
              </a:schemeClr>
            </a:gs>
            <a:gs pos="12000">
              <a:schemeClr val="phClr">
                <a:tint val="50000"/>
                <a:shade val="90000"/>
                <a:satMod val="250000"/>
              </a:schemeClr>
            </a:gs>
            <a:gs pos="100000">
              <a:schemeClr val="phClr">
                <a:tint val="85000"/>
                <a:shade val="75000"/>
                <a:satMod val="1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75000"/>
                <a:shade val="95000"/>
                <a:satMod val="175000"/>
              </a:schemeClr>
            </a:gs>
            <a:gs pos="12000">
              <a:schemeClr val="phClr">
                <a:tint val="90000"/>
                <a:shade val="90000"/>
                <a:satMod val="150000"/>
              </a:schemeClr>
            </a:gs>
            <a:gs pos="100000">
              <a:schemeClr val="phClr">
                <a:tint val="100000"/>
                <a:shade val="75000"/>
                <a:satMod val="150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freezing" dir="t">
              <a:rot lat="0" lon="0" rev="6000000"/>
            </a:lightRig>
          </a:scene3d>
          <a:sp3d contourW="12700" prstMaterial="dkEdge">
            <a:bevelT w="44450" h="25400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satMod val="110000"/>
                <a:lumMod val="80000"/>
              </a:schemeClr>
            </a:gs>
            <a:gs pos="79000">
              <a:schemeClr val="phClr">
                <a:tint val="100000"/>
                <a:shade val="90000"/>
                <a:satMod val="105000"/>
                <a:lumMod val="10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1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hade val="100000"/>
                <a:satMod val="100000"/>
                <a:lumMod val="110000"/>
              </a:schemeClr>
            </a:gs>
            <a:gs pos="83000">
              <a:schemeClr val="phClr">
                <a:shade val="75000"/>
                <a:satMod val="200000"/>
              </a:schemeClr>
            </a:gs>
            <a:gs pos="100000">
              <a:schemeClr val="phClr">
                <a:shade val="90000"/>
                <a:satMod val="200000"/>
              </a:schemeClr>
            </a:gs>
          </a:gsLst>
          <a:path path="circle">
            <a:fillToRect l="75000" t="100000" b="3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8"/>
  <sheetViews>
    <sheetView tabSelected="1" topLeftCell="A39" zoomScale="90" zoomScaleNormal="90" workbookViewId="0">
      <selection activeCell="E34" sqref="E34"/>
    </sheetView>
  </sheetViews>
  <sheetFormatPr defaultColWidth="9.140625" defaultRowHeight="15" x14ac:dyDescent="0.25"/>
  <cols>
    <col min="1" max="1" width="9.140625" style="112"/>
    <col min="2" max="2" width="11" style="112" customWidth="1"/>
    <col min="3" max="3" width="59.140625" style="112" customWidth="1"/>
    <col min="4" max="4" width="19.42578125" style="112" customWidth="1"/>
    <col min="5" max="7" width="14.7109375" style="112" customWidth="1"/>
    <col min="8" max="8" width="11" style="112" customWidth="1"/>
    <col min="9" max="9" width="10.42578125" style="112" customWidth="1"/>
    <col min="10" max="10" width="9" style="112" bestFit="1" customWidth="1"/>
    <col min="11" max="11" width="9.140625" style="125"/>
    <col min="12" max="12" width="10.28515625" style="125" customWidth="1"/>
    <col min="13" max="13" width="11.42578125" style="125" customWidth="1"/>
    <col min="14" max="14" width="10.28515625" style="125" customWidth="1"/>
    <col min="15" max="15" width="10.42578125" style="125" bestFit="1" customWidth="1"/>
    <col min="16" max="33" width="9.140625" style="125"/>
    <col min="34" max="16384" width="9.140625" style="112"/>
  </cols>
  <sheetData>
    <row r="1" spans="3:14" s="125" customFormat="1" ht="10.15" customHeight="1" x14ac:dyDescent="0.25"/>
    <row r="2" spans="3:14" s="125" customFormat="1" hidden="1" x14ac:dyDescent="0.25">
      <c r="D2" s="125" t="s">
        <v>22</v>
      </c>
    </row>
    <row r="3" spans="3:14" s="125" customFormat="1" hidden="1" x14ac:dyDescent="0.25">
      <c r="D3" s="125" t="s">
        <v>23</v>
      </c>
    </row>
    <row r="4" spans="3:14" s="125" customFormat="1" hidden="1" x14ac:dyDescent="0.25"/>
    <row r="5" spans="3:14" s="125" customFormat="1" hidden="1" x14ac:dyDescent="0.25">
      <c r="D5" s="187" t="s">
        <v>15</v>
      </c>
      <c r="E5" s="187"/>
      <c r="F5" s="187"/>
      <c r="G5" s="148"/>
      <c r="H5" s="187" t="s">
        <v>19</v>
      </c>
      <c r="I5" s="187"/>
      <c r="J5" s="187"/>
      <c r="L5" s="187" t="s">
        <v>85</v>
      </c>
      <c r="M5" s="187"/>
      <c r="N5" s="187"/>
    </row>
    <row r="6" spans="3:14" s="143" customFormat="1" ht="30" hidden="1" x14ac:dyDescent="0.25">
      <c r="C6" s="143" t="s">
        <v>0</v>
      </c>
      <c r="D6" s="143" t="s">
        <v>84</v>
      </c>
      <c r="E6" s="143" t="s">
        <v>87</v>
      </c>
      <c r="F6" s="143" t="s">
        <v>88</v>
      </c>
      <c r="H6" s="143" t="str">
        <f>+D6</f>
        <v>FY 2021 (4/9/21)</v>
      </c>
      <c r="I6" s="143" t="str">
        <f>+E6</f>
        <v>FY 2022 (7/5/21)</v>
      </c>
      <c r="J6" s="143" t="str">
        <f>+F6</f>
        <v>FY 2023 (7/1/22)</v>
      </c>
      <c r="L6" s="143" t="str">
        <f>+H6</f>
        <v>FY 2021 (4/9/21)</v>
      </c>
      <c r="M6" s="143" t="str">
        <f>+I6</f>
        <v>FY 2022 (7/5/21)</v>
      </c>
      <c r="N6" s="143" t="str">
        <f>+J6</f>
        <v>FY 2023 (7/1/22)</v>
      </c>
    </row>
    <row r="7" spans="3:14" s="125" customFormat="1" hidden="1" x14ac:dyDescent="0.25">
      <c r="C7" s="125" t="s">
        <v>2</v>
      </c>
      <c r="D7" s="149">
        <v>41.25</v>
      </c>
      <c r="E7" s="149">
        <v>42.9</v>
      </c>
      <c r="F7" s="149">
        <v>44.62</v>
      </c>
      <c r="G7" s="149"/>
      <c r="H7" s="150">
        <v>10.71</v>
      </c>
      <c r="I7" s="150">
        <v>11.14</v>
      </c>
      <c r="J7" s="150">
        <v>11.59</v>
      </c>
      <c r="K7" s="149"/>
      <c r="L7" s="124">
        <v>28.34</v>
      </c>
      <c r="M7" s="124">
        <f>ROUND(L7*1.032,2)</f>
        <v>29.25</v>
      </c>
      <c r="N7" s="124">
        <v>30.42</v>
      </c>
    </row>
    <row r="8" spans="3:14" s="125" customFormat="1" hidden="1" x14ac:dyDescent="0.25">
      <c r="C8" s="125" t="s">
        <v>3</v>
      </c>
      <c r="D8" s="149">
        <v>52.77</v>
      </c>
      <c r="E8" s="149">
        <v>54.89</v>
      </c>
      <c r="F8" s="149">
        <v>57.09</v>
      </c>
      <c r="G8" s="149"/>
      <c r="H8" s="150">
        <v>12.8</v>
      </c>
      <c r="I8" s="150">
        <v>13.32</v>
      </c>
      <c r="J8" s="150">
        <v>13.86</v>
      </c>
      <c r="K8" s="149"/>
      <c r="L8" s="124">
        <v>42.5</v>
      </c>
      <c r="M8" s="124">
        <f t="shared" ref="M8:M16" si="0">ROUND(L8*1.032,2)</f>
        <v>43.86</v>
      </c>
      <c r="N8" s="124">
        <v>45.61</v>
      </c>
    </row>
    <row r="9" spans="3:14" s="125" customFormat="1" hidden="1" x14ac:dyDescent="0.25">
      <c r="C9" s="125" t="s">
        <v>4</v>
      </c>
      <c r="D9" s="149">
        <v>75.81</v>
      </c>
      <c r="E9" s="149">
        <v>78.849999999999994</v>
      </c>
      <c r="F9" s="149">
        <v>82.01</v>
      </c>
      <c r="G9" s="149"/>
      <c r="H9" s="150">
        <v>16.96</v>
      </c>
      <c r="I9" s="150">
        <v>17.64</v>
      </c>
      <c r="J9" s="150">
        <v>18.350000000000001</v>
      </c>
      <c r="K9" s="149"/>
      <c r="L9" s="124">
        <v>70.84</v>
      </c>
      <c r="M9" s="124">
        <f t="shared" si="0"/>
        <v>73.11</v>
      </c>
      <c r="N9" s="124">
        <v>76.03</v>
      </c>
    </row>
    <row r="10" spans="3:14" s="125" customFormat="1" hidden="1" x14ac:dyDescent="0.25">
      <c r="C10" s="125" t="s">
        <v>5</v>
      </c>
      <c r="D10" s="149">
        <v>133.41</v>
      </c>
      <c r="E10" s="149">
        <v>138.75</v>
      </c>
      <c r="F10" s="149">
        <v>144.30000000000001</v>
      </c>
      <c r="G10" s="149"/>
      <c r="H10" s="150">
        <v>27.37</v>
      </c>
      <c r="I10" s="150">
        <v>28.47</v>
      </c>
      <c r="J10" s="150">
        <v>29.61</v>
      </c>
      <c r="K10" s="149"/>
      <c r="L10" s="124">
        <v>141.69</v>
      </c>
      <c r="M10" s="124">
        <f t="shared" si="0"/>
        <v>146.22</v>
      </c>
      <c r="N10" s="124">
        <v>152.07</v>
      </c>
    </row>
    <row r="11" spans="3:14" s="125" customFormat="1" hidden="1" x14ac:dyDescent="0.25">
      <c r="C11" s="125" t="s">
        <v>6</v>
      </c>
      <c r="D11" s="149">
        <v>202.51</v>
      </c>
      <c r="E11" s="149">
        <v>210.62</v>
      </c>
      <c r="F11" s="149">
        <v>219.05</v>
      </c>
      <c r="G11" s="149"/>
      <c r="H11" s="150">
        <v>39.86</v>
      </c>
      <c r="I11" s="150">
        <v>41.46</v>
      </c>
      <c r="J11" s="150">
        <v>43.12</v>
      </c>
      <c r="K11" s="149"/>
      <c r="L11" s="124">
        <v>226.71</v>
      </c>
      <c r="M11" s="124">
        <f t="shared" si="0"/>
        <v>233.96</v>
      </c>
      <c r="N11" s="124">
        <v>243.32</v>
      </c>
    </row>
    <row r="12" spans="3:14" s="125" customFormat="1" hidden="1" x14ac:dyDescent="0.25">
      <c r="C12" s="125" t="s">
        <v>7</v>
      </c>
      <c r="D12" s="149">
        <v>421.38</v>
      </c>
      <c r="E12" s="149">
        <v>438.24</v>
      </c>
      <c r="F12" s="149">
        <v>455.77</v>
      </c>
      <c r="G12" s="149"/>
      <c r="H12" s="150">
        <v>79.42</v>
      </c>
      <c r="I12" s="150">
        <v>82.6</v>
      </c>
      <c r="J12" s="150">
        <v>85.91</v>
      </c>
      <c r="K12" s="149"/>
      <c r="L12" s="124">
        <v>495.92</v>
      </c>
      <c r="M12" s="124">
        <f t="shared" si="0"/>
        <v>511.79</v>
      </c>
      <c r="N12" s="124">
        <v>532.26</v>
      </c>
    </row>
    <row r="13" spans="3:14" s="125" customFormat="1" hidden="1" x14ac:dyDescent="0.25">
      <c r="C13" s="125" t="s">
        <v>8</v>
      </c>
      <c r="D13" s="149">
        <v>743.92</v>
      </c>
      <c r="E13" s="149">
        <v>773.68</v>
      </c>
      <c r="F13" s="149">
        <v>804.63</v>
      </c>
      <c r="G13" s="149"/>
      <c r="H13" s="150">
        <v>137.72</v>
      </c>
      <c r="I13" s="150">
        <v>143.22999999999999</v>
      </c>
      <c r="J13" s="150">
        <v>148.96</v>
      </c>
      <c r="K13" s="149"/>
      <c r="L13" s="124">
        <v>892.67</v>
      </c>
      <c r="M13" s="124">
        <f t="shared" si="0"/>
        <v>921.24</v>
      </c>
      <c r="N13" s="124">
        <v>958.09</v>
      </c>
    </row>
    <row r="14" spans="3:14" s="125" customFormat="1" hidden="1" x14ac:dyDescent="0.25">
      <c r="C14" s="125" t="s">
        <v>9</v>
      </c>
      <c r="D14" s="149">
        <v>1630.88</v>
      </c>
      <c r="E14" s="149">
        <v>1696.12</v>
      </c>
      <c r="F14" s="149">
        <v>1763.97</v>
      </c>
      <c r="G14" s="149"/>
      <c r="H14" s="150">
        <v>298.04000000000002</v>
      </c>
      <c r="I14" s="150">
        <v>309.97000000000003</v>
      </c>
      <c r="J14" s="150">
        <v>322.37</v>
      </c>
      <c r="K14" s="149"/>
      <c r="L14" s="124">
        <v>1983.72</v>
      </c>
      <c r="M14" s="124">
        <f t="shared" si="0"/>
        <v>2047.2</v>
      </c>
      <c r="N14" s="124">
        <v>2129.09</v>
      </c>
    </row>
    <row r="15" spans="3:14" s="125" customFormat="1" hidden="1" x14ac:dyDescent="0.25">
      <c r="C15" s="125" t="s">
        <v>10</v>
      </c>
      <c r="D15" s="149">
        <v>2782.78</v>
      </c>
      <c r="E15" s="149">
        <v>2894.1</v>
      </c>
      <c r="F15" s="149">
        <v>3009.87</v>
      </c>
      <c r="G15" s="149"/>
      <c r="H15" s="150">
        <v>506.25</v>
      </c>
      <c r="I15" s="150">
        <v>526.5</v>
      </c>
      <c r="J15" s="150">
        <v>547.55999999999995</v>
      </c>
      <c r="K15" s="149"/>
      <c r="L15" s="124">
        <v>3400.65</v>
      </c>
      <c r="M15" s="124">
        <f t="shared" si="0"/>
        <v>3509.47</v>
      </c>
      <c r="N15" s="124">
        <v>3649.85</v>
      </c>
    </row>
    <row r="16" spans="3:14" s="125" customFormat="1" hidden="1" x14ac:dyDescent="0.25">
      <c r="C16" s="125" t="s">
        <v>11</v>
      </c>
      <c r="D16" s="149">
        <v>4395.45</v>
      </c>
      <c r="E16" s="149">
        <v>4571.2700000000004</v>
      </c>
      <c r="F16" s="149">
        <v>4754.13</v>
      </c>
      <c r="G16" s="149"/>
      <c r="H16" s="150">
        <v>797.74</v>
      </c>
      <c r="I16" s="150">
        <v>829.65</v>
      </c>
      <c r="J16" s="150">
        <v>862.84</v>
      </c>
      <c r="K16" s="149"/>
      <c r="L16" s="124">
        <v>5384.38</v>
      </c>
      <c r="M16" s="124">
        <f t="shared" si="0"/>
        <v>5556.68</v>
      </c>
      <c r="N16" s="124">
        <v>5778.95</v>
      </c>
    </row>
    <row r="17" spans="1:22" s="125" customFormat="1" hidden="1" x14ac:dyDescent="0.25">
      <c r="I17" s="151"/>
      <c r="J17" s="152"/>
    </row>
    <row r="18" spans="1:22" s="125" customFormat="1" ht="15.75" hidden="1" x14ac:dyDescent="0.25">
      <c r="D18" s="188" t="s">
        <v>12</v>
      </c>
      <c r="E18" s="188"/>
      <c r="F18" s="188"/>
      <c r="G18" s="153">
        <v>44382</v>
      </c>
      <c r="H18" s="154" t="s">
        <v>17</v>
      </c>
      <c r="I18" s="154" t="s">
        <v>18</v>
      </c>
      <c r="J18" s="153">
        <v>44743</v>
      </c>
      <c r="K18" s="154" t="s">
        <v>17</v>
      </c>
      <c r="L18" s="154" t="s">
        <v>18</v>
      </c>
      <c r="M18" s="155" t="s">
        <v>13</v>
      </c>
      <c r="N18" s="156"/>
      <c r="O18" s="156"/>
      <c r="P18" s="157">
        <f>+G18</f>
        <v>44382</v>
      </c>
      <c r="Q18" s="154" t="s">
        <v>17</v>
      </c>
      <c r="R18" s="154" t="s">
        <v>18</v>
      </c>
      <c r="S18" s="157">
        <f>+J18</f>
        <v>44743</v>
      </c>
      <c r="T18" s="154" t="s">
        <v>17</v>
      </c>
      <c r="U18" s="154" t="s">
        <v>18</v>
      </c>
    </row>
    <row r="19" spans="1:22" s="125" customFormat="1" hidden="1" x14ac:dyDescent="0.25">
      <c r="C19" s="158" t="s">
        <v>39</v>
      </c>
      <c r="D19" s="187" t="s">
        <v>42</v>
      </c>
      <c r="E19" s="187"/>
      <c r="F19" s="159" t="s">
        <v>43</v>
      </c>
      <c r="G19" s="154" t="s">
        <v>41</v>
      </c>
      <c r="H19" s="154" t="s">
        <v>40</v>
      </c>
      <c r="I19" s="154" t="s">
        <v>40</v>
      </c>
      <c r="J19" s="154" t="s">
        <v>41</v>
      </c>
      <c r="K19" s="154" t="s">
        <v>40</v>
      </c>
      <c r="L19" s="154" t="s">
        <v>40</v>
      </c>
      <c r="M19" s="187" t="s">
        <v>42</v>
      </c>
      <c r="N19" s="187"/>
      <c r="O19" s="156" t="s">
        <v>43</v>
      </c>
      <c r="P19" s="154" t="s">
        <v>41</v>
      </c>
      <c r="Q19" s="154" t="s">
        <v>40</v>
      </c>
      <c r="R19" s="154" t="s">
        <v>40</v>
      </c>
      <c r="S19" s="154" t="s">
        <v>41</v>
      </c>
      <c r="T19" s="154" t="s">
        <v>40</v>
      </c>
      <c r="U19" s="154" t="s">
        <v>40</v>
      </c>
    </row>
    <row r="20" spans="1:22" s="125" customFormat="1" hidden="1" x14ac:dyDescent="0.25">
      <c r="C20" s="158">
        <v>1</v>
      </c>
      <c r="D20" s="160">
        <v>0</v>
      </c>
      <c r="E20" s="160">
        <v>21</v>
      </c>
      <c r="F20" s="160">
        <f>E20-D20</f>
        <v>21</v>
      </c>
      <c r="G20" s="161">
        <v>4.54</v>
      </c>
      <c r="H20" s="161">
        <f>F20*G20</f>
        <v>95.34</v>
      </c>
      <c r="I20" s="161">
        <f>H20</f>
        <v>95.34</v>
      </c>
      <c r="J20" s="161">
        <v>4.7300000000000004</v>
      </c>
      <c r="K20" s="161">
        <f>J20*F20</f>
        <v>99.330000000000013</v>
      </c>
      <c r="L20" s="161">
        <f>K20</f>
        <v>99.330000000000013</v>
      </c>
      <c r="M20" s="160">
        <v>0</v>
      </c>
      <c r="N20" s="160">
        <v>26</v>
      </c>
      <c r="O20" s="160">
        <f>N20-M20</f>
        <v>26</v>
      </c>
      <c r="P20" s="161">
        <f>Proposed_T1</f>
        <v>4.7300000000000004</v>
      </c>
      <c r="Q20" s="161">
        <f>O20*P20</f>
        <v>122.98000000000002</v>
      </c>
      <c r="R20" s="161">
        <f>Q20</f>
        <v>122.98000000000002</v>
      </c>
      <c r="S20" s="161">
        <f>Proposed_T1</f>
        <v>4.7300000000000004</v>
      </c>
      <c r="T20" s="161">
        <f>S20*O20</f>
        <v>122.98000000000002</v>
      </c>
      <c r="U20" s="161">
        <f>T20</f>
        <v>122.98000000000002</v>
      </c>
      <c r="V20" s="162"/>
    </row>
    <row r="21" spans="1:22" s="125" customFormat="1" hidden="1" x14ac:dyDescent="0.25">
      <c r="C21" s="158">
        <v>2</v>
      </c>
      <c r="D21" s="160">
        <v>22</v>
      </c>
      <c r="E21" s="160">
        <v>48</v>
      </c>
      <c r="F21" s="160">
        <f>E21-D21+1</f>
        <v>27</v>
      </c>
      <c r="G21" s="161">
        <v>7.87</v>
      </c>
      <c r="H21" s="161">
        <f>F21*G21</f>
        <v>212.49</v>
      </c>
      <c r="I21" s="161">
        <f>H21+I20</f>
        <v>307.83000000000004</v>
      </c>
      <c r="J21" s="161">
        <v>8.19</v>
      </c>
      <c r="K21" s="161">
        <f>J21*F21</f>
        <v>221.13</v>
      </c>
      <c r="L21" s="161">
        <f>K21+L20</f>
        <v>320.46000000000004</v>
      </c>
      <c r="M21" s="160">
        <v>27</v>
      </c>
      <c r="N21" s="160">
        <v>59</v>
      </c>
      <c r="O21" s="160">
        <f>N21-M21+1</f>
        <v>33</v>
      </c>
      <c r="P21" s="161">
        <f>Proposed_T2</f>
        <v>8.19</v>
      </c>
      <c r="Q21" s="161">
        <f>O21*P21</f>
        <v>270.27</v>
      </c>
      <c r="R21" s="161">
        <f>Q21+R20</f>
        <v>393.25</v>
      </c>
      <c r="S21" s="161">
        <f>Proposed_T2</f>
        <v>8.19</v>
      </c>
      <c r="T21" s="161">
        <f>S21*O21</f>
        <v>270.27</v>
      </c>
      <c r="U21" s="161">
        <f>T21+U20</f>
        <v>393.25</v>
      </c>
      <c r="V21" s="162"/>
    </row>
    <row r="22" spans="1:22" s="125" customFormat="1" hidden="1" x14ac:dyDescent="0.25">
      <c r="C22" s="158">
        <v>3</v>
      </c>
      <c r="D22" s="160">
        <v>49</v>
      </c>
      <c r="E22" s="160">
        <v>80</v>
      </c>
      <c r="F22" s="160">
        <f>E22-D22+1</f>
        <v>32</v>
      </c>
      <c r="G22" s="161">
        <v>13.25</v>
      </c>
      <c r="H22" s="161">
        <f>F22*G22</f>
        <v>424</v>
      </c>
      <c r="I22" s="161">
        <f>H22+I21</f>
        <v>731.83</v>
      </c>
      <c r="J22" s="161">
        <v>13.78</v>
      </c>
      <c r="K22" s="161">
        <f>J22*F22</f>
        <v>440.96</v>
      </c>
      <c r="L22" s="161">
        <f>K22+L21</f>
        <v>761.42000000000007</v>
      </c>
      <c r="M22" s="160">
        <v>60</v>
      </c>
      <c r="N22" s="160">
        <v>99</v>
      </c>
      <c r="O22" s="160">
        <f>N22-M22+1</f>
        <v>40</v>
      </c>
      <c r="P22" s="161">
        <f>Proposed_T3</f>
        <v>13.78</v>
      </c>
      <c r="Q22" s="161">
        <f>O22*P22</f>
        <v>551.19999999999993</v>
      </c>
      <c r="R22" s="161">
        <f>Q22+R21</f>
        <v>944.44999999999993</v>
      </c>
      <c r="S22" s="161">
        <f>Proposed_T3</f>
        <v>13.78</v>
      </c>
      <c r="T22" s="161">
        <f>S22*O22</f>
        <v>551.19999999999993</v>
      </c>
      <c r="U22" s="161">
        <f>T22+U21</f>
        <v>944.44999999999993</v>
      </c>
      <c r="V22" s="162"/>
    </row>
    <row r="23" spans="1:22" s="125" customFormat="1" hidden="1" x14ac:dyDescent="0.25">
      <c r="C23" s="158">
        <v>4</v>
      </c>
      <c r="D23" s="160">
        <v>81</v>
      </c>
      <c r="E23" s="160">
        <v>999999</v>
      </c>
      <c r="F23" s="160">
        <f>SUM(F20:F22)</f>
        <v>80</v>
      </c>
      <c r="G23" s="161">
        <v>21.29</v>
      </c>
      <c r="H23" s="161"/>
      <c r="I23" s="161"/>
      <c r="J23" s="161">
        <v>22.15</v>
      </c>
      <c r="K23" s="161"/>
      <c r="L23" s="161"/>
      <c r="M23" s="160">
        <v>100</v>
      </c>
      <c r="N23" s="160">
        <v>9999999</v>
      </c>
      <c r="O23" s="160">
        <f>SUM(O20:O22)</f>
        <v>99</v>
      </c>
      <c r="P23" s="161">
        <f>Proposed_T4</f>
        <v>22.15</v>
      </c>
      <c r="Q23" s="161"/>
      <c r="R23" s="161"/>
      <c r="S23" s="161">
        <f>Proposed_T4</f>
        <v>22.15</v>
      </c>
      <c r="T23" s="161"/>
      <c r="U23" s="161"/>
    </row>
    <row r="24" spans="1:22" s="125" customFormat="1" hidden="1" x14ac:dyDescent="0.25">
      <c r="D24" s="160"/>
      <c r="E24" s="160"/>
      <c r="F24" s="160"/>
      <c r="G24" s="124"/>
      <c r="H24" s="124"/>
      <c r="I24" s="124"/>
      <c r="J24" s="124"/>
      <c r="K24" s="124"/>
      <c r="L24" s="124"/>
      <c r="P24" s="124"/>
      <c r="Q24" s="124"/>
      <c r="R24" s="124"/>
      <c r="S24" s="124"/>
      <c r="T24" s="124"/>
      <c r="U24" s="124"/>
    </row>
    <row r="25" spans="1:22" s="125" customFormat="1" ht="23.45" hidden="1" customHeight="1" x14ac:dyDescent="0.25">
      <c r="G25" s="124"/>
      <c r="H25" s="124"/>
      <c r="I25" s="124"/>
      <c r="J25" s="124"/>
      <c r="K25" s="124"/>
      <c r="L25" s="124"/>
      <c r="P25" s="124"/>
      <c r="Q25" s="124"/>
      <c r="R25" s="124"/>
      <c r="S25" s="124"/>
      <c r="T25" s="124"/>
      <c r="U25" s="124"/>
    </row>
    <row r="26" spans="1:22" s="125" customFormat="1" ht="28.15" hidden="1" customHeight="1" x14ac:dyDescent="0.25">
      <c r="G26" s="124"/>
      <c r="H26" s="124"/>
      <c r="I26" s="124"/>
      <c r="J26" s="124"/>
      <c r="K26" s="124"/>
      <c r="L26" s="124"/>
      <c r="P26" s="124"/>
      <c r="Q26" s="124"/>
      <c r="R26" s="124"/>
      <c r="S26" s="124"/>
      <c r="T26" s="124"/>
      <c r="U26" s="124"/>
    </row>
    <row r="27" spans="1:22" s="125" customFormat="1" ht="22.15" customHeight="1" x14ac:dyDescent="0.25">
      <c r="A27" s="122"/>
      <c r="B27" s="122"/>
      <c r="C27" s="122"/>
      <c r="D27" s="122"/>
      <c r="E27" s="122"/>
      <c r="F27" s="122"/>
      <c r="G27" s="123"/>
      <c r="H27" s="123"/>
      <c r="I27" s="123"/>
      <c r="J27" s="124"/>
      <c r="K27" s="124"/>
      <c r="L27" s="124"/>
      <c r="P27" s="124"/>
      <c r="Q27" s="124"/>
      <c r="R27" s="124"/>
      <c r="S27" s="124"/>
      <c r="T27" s="124"/>
      <c r="U27" s="124"/>
    </row>
    <row r="28" spans="1:22" s="125" customFormat="1" ht="22.9" customHeight="1" x14ac:dyDescent="0.25">
      <c r="A28" s="122"/>
      <c r="B28" s="122"/>
      <c r="C28" s="122"/>
      <c r="D28" s="122"/>
      <c r="E28" s="122"/>
      <c r="F28" s="122"/>
      <c r="G28" s="123"/>
      <c r="H28" s="123"/>
      <c r="I28" s="123"/>
      <c r="J28" s="124"/>
      <c r="K28" s="124"/>
      <c r="L28" s="124"/>
      <c r="P28" s="124"/>
      <c r="Q28" s="124"/>
      <c r="R28" s="124"/>
      <c r="S28" s="124"/>
      <c r="T28" s="124"/>
      <c r="U28" s="124"/>
    </row>
    <row r="29" spans="1:22" s="125" customFormat="1" ht="31.5" x14ac:dyDescent="0.25">
      <c r="A29" s="122"/>
      <c r="B29" s="122"/>
      <c r="C29" s="178" t="s">
        <v>73</v>
      </c>
      <c r="D29" s="178"/>
      <c r="E29" s="178"/>
      <c r="F29" s="178"/>
      <c r="G29" s="178"/>
      <c r="H29" s="178"/>
      <c r="I29" s="178"/>
      <c r="J29" s="124"/>
      <c r="K29" s="124"/>
      <c r="L29" s="124"/>
      <c r="U29" s="124"/>
    </row>
    <row r="30" spans="1:22" s="125" customFormat="1" x14ac:dyDescent="0.25">
      <c r="A30" s="122"/>
      <c r="B30" s="122"/>
      <c r="C30" s="122"/>
      <c r="D30" s="122"/>
      <c r="E30" s="122"/>
      <c r="F30" s="122"/>
      <c r="G30" s="123"/>
      <c r="H30" s="123"/>
      <c r="I30" s="123"/>
      <c r="J30" s="124"/>
      <c r="K30" s="124"/>
      <c r="L30" s="124"/>
      <c r="U30" s="124"/>
    </row>
    <row r="31" spans="1:22" ht="21" x14ac:dyDescent="0.35">
      <c r="A31" s="122"/>
      <c r="B31" s="144" t="s">
        <v>74</v>
      </c>
      <c r="C31" s="122"/>
      <c r="D31" s="122"/>
      <c r="E31" s="121" t="s">
        <v>83</v>
      </c>
      <c r="F31" s="122"/>
      <c r="G31" s="122"/>
      <c r="H31" s="122"/>
      <c r="I31" s="122"/>
      <c r="J31" s="125"/>
    </row>
    <row r="32" spans="1:22" s="125" customFormat="1" ht="15" customHeight="1" x14ac:dyDescent="0.3">
      <c r="A32" s="122"/>
      <c r="B32" s="145"/>
      <c r="C32" s="163"/>
      <c r="D32" s="122"/>
      <c r="E32" s="122"/>
      <c r="F32" s="122"/>
      <c r="G32" s="122"/>
      <c r="H32" s="122"/>
      <c r="I32" s="122"/>
    </row>
    <row r="33" spans="1:11" ht="30" customHeight="1" x14ac:dyDescent="0.25">
      <c r="A33" s="178" t="s">
        <v>76</v>
      </c>
      <c r="B33" s="178"/>
      <c r="C33" s="164" t="s">
        <v>79</v>
      </c>
      <c r="D33" s="126"/>
      <c r="E33" s="113"/>
      <c r="F33" s="126"/>
      <c r="G33" s="126"/>
      <c r="H33" s="122"/>
      <c r="I33" s="122"/>
      <c r="J33" s="125"/>
    </row>
    <row r="34" spans="1:11" ht="21" x14ac:dyDescent="0.25">
      <c r="A34" s="125"/>
      <c r="B34" s="146"/>
      <c r="C34" s="165" t="s">
        <v>20</v>
      </c>
      <c r="D34" s="166"/>
      <c r="E34" s="119" t="s">
        <v>23</v>
      </c>
      <c r="F34" s="127"/>
      <c r="G34" s="127"/>
      <c r="H34" s="125"/>
      <c r="I34" s="125"/>
      <c r="J34" s="125"/>
    </row>
    <row r="35" spans="1:11" ht="21" x14ac:dyDescent="0.25">
      <c r="A35" s="125"/>
      <c r="B35" s="146"/>
      <c r="C35" s="167" t="s">
        <v>31</v>
      </c>
      <c r="D35" s="166"/>
      <c r="E35" s="54"/>
      <c r="F35" s="127"/>
      <c r="G35" s="127"/>
      <c r="H35" s="128"/>
      <c r="I35" s="125"/>
      <c r="J35" s="125"/>
    </row>
    <row r="36" spans="1:11" ht="21" x14ac:dyDescent="0.25">
      <c r="A36" s="125"/>
      <c r="B36" s="146"/>
      <c r="C36" s="165" t="s">
        <v>21</v>
      </c>
      <c r="D36" s="166"/>
      <c r="E36" s="119" t="s">
        <v>23</v>
      </c>
      <c r="F36" s="127"/>
      <c r="G36" s="127"/>
      <c r="H36" s="125"/>
      <c r="I36" s="125"/>
      <c r="J36" s="125"/>
    </row>
    <row r="37" spans="1:11" ht="9.9499999999999993" customHeight="1" x14ac:dyDescent="0.25">
      <c r="A37" s="125"/>
      <c r="B37" s="146"/>
      <c r="C37" s="168"/>
      <c r="D37" s="166"/>
      <c r="E37" s="175"/>
      <c r="F37" s="127"/>
      <c r="G37" s="127"/>
      <c r="H37" s="125"/>
      <c r="I37" s="125"/>
      <c r="J37" s="125"/>
    </row>
    <row r="38" spans="1:11" ht="21" x14ac:dyDescent="0.25">
      <c r="A38" s="125"/>
      <c r="B38" s="146"/>
      <c r="C38" s="127"/>
      <c r="D38" s="169"/>
      <c r="E38" s="176" t="s">
        <v>0</v>
      </c>
      <c r="F38" s="127"/>
      <c r="G38" s="127"/>
      <c r="H38" s="125"/>
      <c r="I38" s="125"/>
      <c r="J38" s="125"/>
    </row>
    <row r="39" spans="1:11" ht="30" customHeight="1" x14ac:dyDescent="0.25">
      <c r="A39" s="189" t="s">
        <v>77</v>
      </c>
      <c r="B39" s="189"/>
      <c r="C39" s="170" t="s">
        <v>80</v>
      </c>
      <c r="D39" s="130"/>
      <c r="E39" s="120" t="s">
        <v>2</v>
      </c>
      <c r="F39" s="129" t="s">
        <v>46</v>
      </c>
      <c r="G39" s="130"/>
      <c r="H39" s="131"/>
      <c r="I39" s="131"/>
      <c r="J39" s="125"/>
    </row>
    <row r="40" spans="1:11" ht="21" x14ac:dyDescent="0.25">
      <c r="A40" s="125"/>
      <c r="B40" s="146"/>
      <c r="C40" s="166"/>
      <c r="D40" s="166"/>
      <c r="E40" s="55"/>
      <c r="F40" s="127"/>
      <c r="G40" s="127"/>
      <c r="H40" s="125"/>
      <c r="I40" s="125"/>
      <c r="J40" s="125"/>
    </row>
    <row r="41" spans="1:11" ht="21" x14ac:dyDescent="0.25">
      <c r="A41" s="125"/>
      <c r="B41" s="146"/>
      <c r="C41" s="166"/>
      <c r="D41" s="201" t="s">
        <v>12</v>
      </c>
      <c r="E41" s="202"/>
      <c r="F41" s="191" t="s">
        <v>27</v>
      </c>
      <c r="G41" s="192"/>
      <c r="H41" s="125"/>
      <c r="I41" s="125"/>
      <c r="J41" s="125"/>
    </row>
    <row r="42" spans="1:11" ht="21.6" customHeight="1" x14ac:dyDescent="0.25">
      <c r="A42" s="125"/>
      <c r="B42" s="146"/>
      <c r="C42" s="171"/>
      <c r="D42" s="203" t="s">
        <v>26</v>
      </c>
      <c r="E42" s="204"/>
      <c r="F42" s="193" t="s">
        <v>28</v>
      </c>
      <c r="G42" s="194"/>
      <c r="H42" s="125"/>
      <c r="I42" s="125"/>
      <c r="J42" s="125"/>
    </row>
    <row r="43" spans="1:11" ht="42" customHeight="1" x14ac:dyDescent="0.25">
      <c r="A43" s="190" t="s">
        <v>78</v>
      </c>
      <c r="B43" s="190"/>
      <c r="C43" s="172" t="s">
        <v>81</v>
      </c>
      <c r="D43" s="205">
        <v>1</v>
      </c>
      <c r="E43" s="195"/>
      <c r="F43" s="195">
        <v>1</v>
      </c>
      <c r="G43" s="196"/>
      <c r="H43" s="132"/>
      <c r="I43" s="125"/>
      <c r="J43" s="125"/>
      <c r="K43" s="135"/>
    </row>
    <row r="44" spans="1:11" ht="15.6" customHeight="1" x14ac:dyDescent="0.25">
      <c r="A44" s="125"/>
      <c r="B44" s="125"/>
      <c r="C44" s="165" t="s">
        <v>33</v>
      </c>
      <c r="D44" s="206">
        <v>900</v>
      </c>
      <c r="E44" s="207"/>
      <c r="F44" s="197">
        <v>800</v>
      </c>
      <c r="G44" s="198"/>
      <c r="H44" s="133"/>
      <c r="I44" s="125"/>
      <c r="J44" s="125"/>
      <c r="K44" s="135"/>
    </row>
    <row r="45" spans="1:11" ht="15.75" x14ac:dyDescent="0.25">
      <c r="A45" s="125"/>
      <c r="B45" s="147"/>
      <c r="C45" s="140" t="s">
        <v>75</v>
      </c>
      <c r="D45" s="208">
        <f>ROUND(D44/60,0)</f>
        <v>15</v>
      </c>
      <c r="E45" s="209"/>
      <c r="F45" s="199">
        <f>ROUND(F44/60,0)</f>
        <v>13</v>
      </c>
      <c r="G45" s="200"/>
      <c r="H45" s="133"/>
      <c r="I45" s="125"/>
      <c r="J45" s="125"/>
      <c r="K45" s="135"/>
    </row>
    <row r="46" spans="1:11" ht="9.9499999999999993" customHeight="1" x14ac:dyDescent="0.25">
      <c r="A46" s="125"/>
      <c r="B46" s="125"/>
      <c r="C46" s="137"/>
      <c r="D46" s="179"/>
      <c r="E46" s="180"/>
      <c r="F46" s="183"/>
      <c r="G46" s="184"/>
      <c r="H46" s="125"/>
      <c r="I46" s="125"/>
      <c r="J46" s="135"/>
      <c r="K46" s="135"/>
    </row>
    <row r="47" spans="1:11" ht="15.6" customHeight="1" x14ac:dyDescent="0.25">
      <c r="A47" s="125"/>
      <c r="B47" s="125"/>
      <c r="C47" s="140" t="s">
        <v>71</v>
      </c>
      <c r="D47" s="216">
        <f>IF(OR(E34="yes",E36="yes"),0,VLOOKUP($E$39,$C$7:$F$16,4,FALSE))</f>
        <v>44.62</v>
      </c>
      <c r="E47" s="217"/>
      <c r="F47" s="185">
        <f>D47</f>
        <v>44.62</v>
      </c>
      <c r="G47" s="186"/>
      <c r="H47" s="125"/>
      <c r="I47" s="125"/>
      <c r="J47" s="174"/>
      <c r="K47" s="135"/>
    </row>
    <row r="48" spans="1:11" ht="15.6" customHeight="1" x14ac:dyDescent="0.25">
      <c r="A48" s="125"/>
      <c r="B48" s="125"/>
      <c r="C48" s="165" t="s">
        <v>16</v>
      </c>
      <c r="D48" s="181">
        <f>IF(OR(E34="yes",E36="yes"),0,VLOOKUP($E$39,C7:J16,8,FALSE))</f>
        <v>11.59</v>
      </c>
      <c r="E48" s="182"/>
      <c r="F48" s="185">
        <f>D48</f>
        <v>11.59</v>
      </c>
      <c r="G48" s="186"/>
      <c r="H48" s="125"/>
      <c r="I48" s="125"/>
      <c r="J48" s="174"/>
    </row>
    <row r="49" spans="1:33" ht="15.6" customHeight="1" x14ac:dyDescent="0.25">
      <c r="A49" s="125"/>
      <c r="B49" s="125"/>
      <c r="C49" s="165" t="s">
        <v>72</v>
      </c>
      <c r="D49" s="181">
        <f>IF($D$43&gt;Winter3_hi,(L22+(($D$43-Winter3_hi))*Proposed_T4),IF(AND($D$43&lt;Winter4_low,$D$43&gt;Winter2_hi),(L21+(($D$43-Winter2_hi)*Proposed_T3)),IF(AND($D$43&lt;Winter3_low,$D$43&gt;Winter1_hi),(L20+(($D$43-Winter1_hi)*Proposed_T2)),IF(AND($D$43&lt;Winter2_low,$D$43&gt;Winter1_low),$D$43*Proposed_T1,0))))</f>
        <v>4.7300000000000004</v>
      </c>
      <c r="E49" s="182"/>
      <c r="F49" s="212">
        <f>IF($F$43&gt;Summer3_hi,(U22+(($F$43-Summer3_hi))*Proposed_T4),IF(AND($F$43&lt;Summer4_low,$F$43&gt;Summer2_hi),(U21+(($F$43-Summer2_hi)*Proposed_T3)),IF(AND($F$43&lt;Summer3_low,$F$43&gt;Summer1_hi),(U20+(($F$43-Summer1_hi)*Proposed_T2)),IF(AND($F$43&lt;Summer2_low,$F$43&gt;Summer1_low),$F$43*Proposed_T1,0))))</f>
        <v>4.7300000000000004</v>
      </c>
      <c r="G49" s="213"/>
      <c r="H49" s="125"/>
      <c r="I49" s="125"/>
      <c r="J49" s="135"/>
    </row>
    <row r="50" spans="1:33" ht="15.6" customHeight="1" x14ac:dyDescent="0.25">
      <c r="A50" s="125"/>
      <c r="B50" s="125"/>
      <c r="C50" s="165" t="s">
        <v>86</v>
      </c>
      <c r="D50" s="181">
        <f>IF(OR(E34="yes",E38="yes"),0,VLOOKUP($E$39,C7:N16,12,FALSE))</f>
        <v>30.42</v>
      </c>
      <c r="E50" s="182"/>
      <c r="F50" s="185">
        <f>D50</f>
        <v>30.42</v>
      </c>
      <c r="G50" s="186"/>
      <c r="H50" s="125"/>
      <c r="I50" s="134"/>
      <c r="J50" s="135"/>
    </row>
    <row r="51" spans="1:33" ht="24.95" customHeight="1" x14ac:dyDescent="0.25">
      <c r="A51" s="125"/>
      <c r="B51" s="125"/>
      <c r="C51" s="173" t="s">
        <v>82</v>
      </c>
      <c r="D51" s="210">
        <f>SUM(D47:D50)</f>
        <v>91.36</v>
      </c>
      <c r="E51" s="211"/>
      <c r="F51" s="214">
        <f>SUM(F47:F50)</f>
        <v>91.36</v>
      </c>
      <c r="G51" s="215"/>
      <c r="H51" s="125"/>
      <c r="I51" s="125"/>
      <c r="J51" s="135"/>
    </row>
    <row r="52" spans="1:33" x14ac:dyDescent="0.25">
      <c r="A52" s="125"/>
      <c r="B52" s="125"/>
      <c r="C52" s="137"/>
      <c r="D52" s="138"/>
      <c r="E52" s="138"/>
      <c r="F52" s="138"/>
      <c r="G52" s="138"/>
      <c r="H52" s="135"/>
      <c r="I52" s="135"/>
      <c r="J52" s="135"/>
      <c r="K52" s="135"/>
      <c r="L52" s="135"/>
      <c r="M52" s="135"/>
    </row>
    <row r="53" spans="1:33" s="117" customFormat="1" ht="15.75" customHeight="1" x14ac:dyDescent="0.25">
      <c r="A53" s="139"/>
      <c r="B53" s="139"/>
      <c r="C53" s="140"/>
      <c r="D53" s="141"/>
      <c r="E53" s="141"/>
      <c r="F53" s="141"/>
      <c r="G53" s="141"/>
      <c r="H53" s="136"/>
      <c r="I53" s="136"/>
      <c r="J53" s="135"/>
      <c r="K53" s="135"/>
      <c r="L53" s="135"/>
      <c r="M53" s="135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</row>
    <row r="54" spans="1:33" x14ac:dyDescent="0.25">
      <c r="A54" s="125"/>
      <c r="B54" s="125"/>
      <c r="C54" s="142"/>
      <c r="D54" s="124"/>
      <c r="E54" s="124"/>
      <c r="F54" s="138"/>
      <c r="G54" s="138"/>
      <c r="H54" s="135"/>
      <c r="I54" s="135"/>
      <c r="J54" s="135"/>
      <c r="K54" s="135"/>
      <c r="L54" s="135"/>
      <c r="M54" s="135"/>
    </row>
    <row r="55" spans="1:33" x14ac:dyDescent="0.25">
      <c r="A55" s="125"/>
      <c r="B55" s="125"/>
      <c r="C55" s="135"/>
      <c r="D55" s="138"/>
      <c r="E55" s="138"/>
      <c r="F55" s="138"/>
      <c r="G55" s="138"/>
      <c r="H55" s="135"/>
      <c r="I55" s="135"/>
      <c r="J55" s="135"/>
      <c r="K55" s="135"/>
      <c r="L55" s="135"/>
      <c r="M55" s="135"/>
    </row>
    <row r="56" spans="1:33" x14ac:dyDescent="0.25">
      <c r="A56" s="15" t="s">
        <v>55</v>
      </c>
      <c r="B56" s="15"/>
      <c r="C56" s="114"/>
      <c r="D56" s="116"/>
      <c r="E56" s="116"/>
      <c r="F56" s="116"/>
      <c r="G56" s="116"/>
      <c r="H56" s="135"/>
      <c r="I56" s="135"/>
      <c r="J56" s="135"/>
      <c r="K56" s="135"/>
      <c r="L56" s="135"/>
    </row>
    <row r="57" spans="1:33" x14ac:dyDescent="0.25">
      <c r="A57" s="15" t="s">
        <v>56</v>
      </c>
      <c r="B57" s="15"/>
      <c r="C57" s="114"/>
      <c r="D57" s="116"/>
      <c r="E57" s="116"/>
      <c r="F57" s="116"/>
      <c r="G57" s="116"/>
      <c r="H57" s="135"/>
      <c r="I57" s="135"/>
      <c r="J57" s="135"/>
      <c r="K57" s="135"/>
      <c r="L57" s="135"/>
    </row>
    <row r="58" spans="1:33" hidden="1" x14ac:dyDescent="0.25">
      <c r="A58" s="15" t="s">
        <v>57</v>
      </c>
      <c r="C58" s="115"/>
      <c r="D58" s="118"/>
      <c r="E58" s="118"/>
      <c r="F58" s="118"/>
      <c r="G58" s="118"/>
      <c r="H58" s="135"/>
      <c r="I58" s="135"/>
      <c r="J58" s="135"/>
      <c r="K58" s="135"/>
      <c r="L58" s="135"/>
    </row>
    <row r="59" spans="1:33" hidden="1" x14ac:dyDescent="0.25">
      <c r="A59" s="15" t="s">
        <v>58</v>
      </c>
      <c r="C59" s="115"/>
      <c r="D59" s="115"/>
      <c r="E59" s="115"/>
      <c r="F59" s="115"/>
      <c r="G59" s="115"/>
      <c r="H59" s="135"/>
      <c r="I59" s="135"/>
      <c r="J59" s="135"/>
      <c r="K59" s="135"/>
      <c r="L59" s="135"/>
    </row>
    <row r="60" spans="1:33" hidden="1" x14ac:dyDescent="0.25">
      <c r="A60" s="15" t="s">
        <v>59</v>
      </c>
      <c r="C60" s="115"/>
      <c r="D60" s="115"/>
      <c r="E60" s="115"/>
      <c r="F60" s="115"/>
      <c r="G60" s="115"/>
      <c r="H60" s="135"/>
      <c r="I60" s="135"/>
      <c r="J60" s="135"/>
      <c r="K60" s="135"/>
      <c r="L60" s="135"/>
    </row>
    <row r="61" spans="1:33" hidden="1" x14ac:dyDescent="0.25">
      <c r="A61" s="15" t="s">
        <v>60</v>
      </c>
      <c r="C61" s="115"/>
      <c r="D61" s="115"/>
      <c r="E61" s="115"/>
      <c r="F61" s="115"/>
      <c r="G61" s="115"/>
      <c r="H61" s="135"/>
      <c r="I61" s="135"/>
      <c r="J61" s="135"/>
      <c r="K61" s="135"/>
      <c r="L61" s="135"/>
    </row>
    <row r="62" spans="1:33" hidden="1" x14ac:dyDescent="0.25">
      <c r="A62" s="15" t="s">
        <v>63</v>
      </c>
      <c r="H62" s="125"/>
      <c r="I62" s="125"/>
      <c r="J62" s="125"/>
    </row>
    <row r="63" spans="1:33" hidden="1" x14ac:dyDescent="0.25">
      <c r="A63" s="15" t="s">
        <v>64</v>
      </c>
      <c r="H63" s="125"/>
      <c r="I63" s="125"/>
      <c r="J63" s="125"/>
    </row>
    <row r="64" spans="1:33" hidden="1" x14ac:dyDescent="0.25">
      <c r="A64" s="15" t="s">
        <v>61</v>
      </c>
      <c r="H64" s="125"/>
      <c r="I64" s="125"/>
      <c r="J64" s="125"/>
    </row>
    <row r="65" spans="1:10" hidden="1" x14ac:dyDescent="0.25">
      <c r="A65" s="15" t="s">
        <v>62</v>
      </c>
      <c r="H65" s="125"/>
      <c r="I65" s="125"/>
      <c r="J65" s="125"/>
    </row>
    <row r="66" spans="1:10" x14ac:dyDescent="0.25">
      <c r="A66" s="125"/>
      <c r="B66" s="125"/>
      <c r="C66" s="125"/>
      <c r="D66" s="125"/>
      <c r="E66" s="125"/>
      <c r="F66" s="125"/>
      <c r="G66" s="125"/>
      <c r="H66" s="125"/>
      <c r="I66" s="125"/>
      <c r="J66" s="125"/>
    </row>
    <row r="67" spans="1:10" s="125" customFormat="1" x14ac:dyDescent="0.25">
      <c r="E67" s="177"/>
    </row>
    <row r="68" spans="1:10" s="125" customFormat="1" x14ac:dyDescent="0.25">
      <c r="E68" s="177"/>
    </row>
    <row r="69" spans="1:10" s="125" customFormat="1" x14ac:dyDescent="0.25"/>
    <row r="70" spans="1:10" s="125" customFormat="1" x14ac:dyDescent="0.25"/>
    <row r="71" spans="1:10" s="125" customFormat="1" x14ac:dyDescent="0.25"/>
    <row r="72" spans="1:10" s="125" customFormat="1" x14ac:dyDescent="0.25"/>
    <row r="73" spans="1:10" s="125" customFormat="1" x14ac:dyDescent="0.25"/>
    <row r="74" spans="1:10" s="125" customFormat="1" x14ac:dyDescent="0.25"/>
    <row r="75" spans="1:10" s="125" customFormat="1" x14ac:dyDescent="0.25"/>
    <row r="76" spans="1:10" s="125" customFormat="1" x14ac:dyDescent="0.25"/>
    <row r="77" spans="1:10" s="125" customFormat="1" x14ac:dyDescent="0.25"/>
    <row r="78" spans="1:10" s="125" customFormat="1" x14ac:dyDescent="0.25"/>
  </sheetData>
  <sheetProtection selectLockedCells="1" selectUnlockedCells="1"/>
  <mergeCells count="32">
    <mergeCell ref="D51:E51"/>
    <mergeCell ref="D49:E49"/>
    <mergeCell ref="F49:G49"/>
    <mergeCell ref="F51:G51"/>
    <mergeCell ref="D47:E47"/>
    <mergeCell ref="A33:B33"/>
    <mergeCell ref="A39:B39"/>
    <mergeCell ref="A43:B43"/>
    <mergeCell ref="D50:E50"/>
    <mergeCell ref="F50:G50"/>
    <mergeCell ref="F41:G41"/>
    <mergeCell ref="F42:G42"/>
    <mergeCell ref="F43:G43"/>
    <mergeCell ref="F44:G44"/>
    <mergeCell ref="F45:G45"/>
    <mergeCell ref="D41:E41"/>
    <mergeCell ref="D42:E42"/>
    <mergeCell ref="D43:E43"/>
    <mergeCell ref="D44:E44"/>
    <mergeCell ref="D45:E45"/>
    <mergeCell ref="L5:N5"/>
    <mergeCell ref="M19:N19"/>
    <mergeCell ref="H5:J5"/>
    <mergeCell ref="D5:F5"/>
    <mergeCell ref="D18:F18"/>
    <mergeCell ref="D19:E19"/>
    <mergeCell ref="C29:I29"/>
    <mergeCell ref="D46:E46"/>
    <mergeCell ref="D48:E48"/>
    <mergeCell ref="F46:G46"/>
    <mergeCell ref="F47:G47"/>
    <mergeCell ref="F48:G48"/>
  </mergeCells>
  <conditionalFormatting sqref="J47:J48">
    <cfRule type="colorScale" priority="4">
      <colorScale>
        <cfvo type="min"/>
        <cfvo type="max"/>
        <color rgb="FFFF7128"/>
        <color rgb="FFFFEF9C"/>
      </colorScale>
    </cfRule>
  </conditionalFormatting>
  <conditionalFormatting sqref="D47:D48 F47:F48">
    <cfRule type="cellIs" dxfId="3" priority="3" operator="equal">
      <formula>0</formula>
    </cfRule>
  </conditionalFormatting>
  <conditionalFormatting sqref="D50">
    <cfRule type="cellIs" dxfId="2" priority="2" operator="equal">
      <formula>0</formula>
    </cfRule>
  </conditionalFormatting>
  <conditionalFormatting sqref="F50">
    <cfRule type="cellIs" dxfId="1" priority="1" operator="equal">
      <formula>0</formula>
    </cfRule>
  </conditionalFormatting>
  <dataValidations count="3">
    <dataValidation type="list" allowBlank="1" showInputMessage="1" showErrorMessage="1" sqref="E37">
      <formula1>Programs</formula1>
    </dataValidation>
    <dataValidation type="list" allowBlank="1" showInputMessage="1" showErrorMessage="1" sqref="E39">
      <formula1>$C$7:$C$16</formula1>
    </dataValidation>
    <dataValidation type="list" allowBlank="1" showInputMessage="1" showErrorMessage="1" sqref="E34 E36">
      <formula1>$D$2:$D$3</formula1>
    </dataValidation>
  </dataValidations>
  <pageMargins left="0.7" right="0.7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0"/>
  <sheetViews>
    <sheetView topLeftCell="A10" workbookViewId="0">
      <selection activeCell="C48" sqref="C48"/>
    </sheetView>
  </sheetViews>
  <sheetFormatPr defaultRowHeight="15" x14ac:dyDescent="0.25"/>
  <cols>
    <col min="2" max="2" width="9.5703125" bestFit="1" customWidth="1"/>
  </cols>
  <sheetData>
    <row r="7" spans="2:2" x14ac:dyDescent="0.25">
      <c r="B7" t="s">
        <v>2</v>
      </c>
    </row>
    <row r="8" spans="2:2" x14ac:dyDescent="0.25">
      <c r="B8" t="s">
        <v>3</v>
      </c>
    </row>
    <row r="9" spans="2:2" x14ac:dyDescent="0.25">
      <c r="B9" t="s">
        <v>4</v>
      </c>
    </row>
    <row r="10" spans="2:2" x14ac:dyDescent="0.25">
      <c r="B10" t="s">
        <v>5</v>
      </c>
    </row>
    <row r="11" spans="2:2" x14ac:dyDescent="0.25">
      <c r="B11" t="s">
        <v>6</v>
      </c>
    </row>
    <row r="12" spans="2:2" x14ac:dyDescent="0.25">
      <c r="B12" t="s">
        <v>7</v>
      </c>
    </row>
    <row r="13" spans="2:2" x14ac:dyDescent="0.25">
      <c r="B13" t="s">
        <v>8</v>
      </c>
    </row>
    <row r="14" spans="2:2" x14ac:dyDescent="0.25">
      <c r="B14" t="s">
        <v>9</v>
      </c>
    </row>
    <row r="15" spans="2:2" x14ac:dyDescent="0.25">
      <c r="B15" t="s">
        <v>10</v>
      </c>
    </row>
    <row r="16" spans="2:2" x14ac:dyDescent="0.25">
      <c r="B16" t="s">
        <v>11</v>
      </c>
    </row>
    <row r="19" spans="2:2" x14ac:dyDescent="0.25">
      <c r="B19" t="s">
        <v>22</v>
      </c>
    </row>
    <row r="20" spans="2:2" x14ac:dyDescent="0.25">
      <c r="B20" t="s">
        <v>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"/>
  <sheetViews>
    <sheetView workbookViewId="0"/>
  </sheetViews>
  <sheetFormatPr defaultRowHeight="15" x14ac:dyDescent="0.25"/>
  <sheetData>
    <row r="1" spans="3:5" x14ac:dyDescent="0.25">
      <c r="C1" t="s">
        <v>47</v>
      </c>
      <c r="D1" t="s">
        <v>51</v>
      </c>
      <c r="E1" t="s">
        <v>50</v>
      </c>
    </row>
    <row r="2" spans="3:5" x14ac:dyDescent="0.25">
      <c r="C2" t="s">
        <v>48</v>
      </c>
    </row>
    <row r="3" spans="3:5" x14ac:dyDescent="0.25">
      <c r="C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opLeftCell="B1" workbookViewId="0">
      <selection activeCell="J19" sqref="J19"/>
    </sheetView>
  </sheetViews>
  <sheetFormatPr defaultRowHeight="15" x14ac:dyDescent="0.25"/>
  <cols>
    <col min="2" max="2" width="11" customWidth="1"/>
    <col min="3" max="3" width="64.28515625" customWidth="1"/>
    <col min="4" max="8" width="11" customWidth="1"/>
    <col min="9" max="9" width="10.42578125" customWidth="1"/>
    <col min="10" max="10" width="9" bestFit="1" customWidth="1"/>
    <col min="13" max="14" width="9.42578125" customWidth="1"/>
    <col min="15" max="15" width="10.42578125" bestFit="1" customWidth="1"/>
  </cols>
  <sheetData>
    <row r="1" spans="3:15" ht="14.45" customHeight="1" x14ac:dyDescent="0.25">
      <c r="D1" t="s">
        <v>22</v>
      </c>
    </row>
    <row r="2" spans="3:15" ht="14.45" customHeight="1" x14ac:dyDescent="0.25">
      <c r="D2" t="s">
        <v>23</v>
      </c>
    </row>
    <row r="3" spans="3:15" ht="14.45" customHeight="1" x14ac:dyDescent="0.25"/>
    <row r="4" spans="3:15" ht="14.45" customHeight="1" x14ac:dyDescent="0.25">
      <c r="D4" s="223" t="s">
        <v>15</v>
      </c>
      <c r="E4" s="223"/>
      <c r="F4" s="223"/>
      <c r="G4" s="3"/>
      <c r="H4" s="223" t="s">
        <v>19</v>
      </c>
      <c r="I4" s="223"/>
      <c r="J4" s="223"/>
      <c r="L4" s="232" t="s">
        <v>15</v>
      </c>
      <c r="M4" s="232"/>
      <c r="N4" s="232" t="s">
        <v>19</v>
      </c>
      <c r="O4" s="232"/>
    </row>
    <row r="5" spans="3:15" s="8" customFormat="1" x14ac:dyDescent="0.25">
      <c r="C5" s="8" t="s">
        <v>0</v>
      </c>
      <c r="D5" s="8" t="s">
        <v>1</v>
      </c>
      <c r="E5" s="8" t="s">
        <v>65</v>
      </c>
      <c r="F5" s="8" t="s">
        <v>66</v>
      </c>
      <c r="H5" s="8" t="str">
        <f>+D5</f>
        <v>Current</v>
      </c>
      <c r="I5" s="8" t="str">
        <f>+E5</f>
        <v>FY 2020</v>
      </c>
      <c r="J5" s="8" t="str">
        <f>+F5</f>
        <v>FY 2021</v>
      </c>
      <c r="L5" s="8" t="s">
        <v>53</v>
      </c>
      <c r="M5" s="8" t="s">
        <v>54</v>
      </c>
      <c r="N5" s="8" t="s">
        <v>53</v>
      </c>
      <c r="O5" s="8" t="s">
        <v>54</v>
      </c>
    </row>
    <row r="6" spans="3:15" ht="14.45" customHeight="1" x14ac:dyDescent="0.25">
      <c r="C6" t="s">
        <v>2</v>
      </c>
      <c r="D6" s="9">
        <v>33.85</v>
      </c>
      <c r="E6" s="9">
        <v>36.79</v>
      </c>
      <c r="F6" s="9">
        <v>39.409999999999997</v>
      </c>
      <c r="G6" s="9"/>
      <c r="H6" s="10">
        <v>8.8000000000000007</v>
      </c>
      <c r="I6" s="10">
        <v>9.7799999999999994</v>
      </c>
      <c r="J6" s="10">
        <v>10.41</v>
      </c>
      <c r="K6" s="9"/>
      <c r="L6" s="110">
        <f>+(E6-D6)/D6</f>
        <v>8.6853766617429773E-2</v>
      </c>
      <c r="M6" s="110">
        <f>+(F6-E6)/E6</f>
        <v>7.1215004077194818E-2</v>
      </c>
      <c r="N6" s="111">
        <f>+(I6-H6)/H6</f>
        <v>0.11136363636363621</v>
      </c>
      <c r="O6" s="111">
        <f>+(J6-I6)/I6</f>
        <v>6.4417177914110516E-2</v>
      </c>
    </row>
    <row r="7" spans="3:15" ht="14.45" customHeight="1" x14ac:dyDescent="0.25">
      <c r="C7" t="s">
        <v>3</v>
      </c>
      <c r="D7" s="9">
        <v>42.9</v>
      </c>
      <c r="E7" s="9">
        <v>46.62</v>
      </c>
      <c r="F7" s="9">
        <v>49.93</v>
      </c>
      <c r="G7" s="9"/>
      <c r="H7" s="10">
        <v>10.55</v>
      </c>
      <c r="I7" s="10">
        <v>11.69</v>
      </c>
      <c r="J7" s="10">
        <v>12.44</v>
      </c>
      <c r="K7" s="9"/>
      <c r="L7" s="110">
        <f t="shared" ref="L7:L15" si="0">+(E7-D7)/D7</f>
        <v>8.6713286713286694E-2</v>
      </c>
      <c r="M7" s="110">
        <f t="shared" ref="M7:M15" si="1">+(F7-E7)/E7</f>
        <v>7.0999570999571049E-2</v>
      </c>
      <c r="N7" s="111">
        <f t="shared" ref="N7:N15" si="2">+(I7-H7)/H7</f>
        <v>0.10805687203791457</v>
      </c>
      <c r="O7" s="111">
        <f t="shared" ref="O7:O15" si="3">+(J7-I7)/I7</f>
        <v>6.4157399486740804E-2</v>
      </c>
    </row>
    <row r="8" spans="3:15" ht="14.45" customHeight="1" x14ac:dyDescent="0.25">
      <c r="C8" t="s">
        <v>4</v>
      </c>
      <c r="D8" s="9">
        <v>60.95</v>
      </c>
      <c r="E8" s="9">
        <v>66.28</v>
      </c>
      <c r="F8" s="9">
        <v>70.97</v>
      </c>
      <c r="G8" s="9"/>
      <c r="H8" s="10">
        <v>14</v>
      </c>
      <c r="I8" s="10">
        <v>15.5</v>
      </c>
      <c r="J8" s="10">
        <v>16.489999999999998</v>
      </c>
      <c r="K8" s="9"/>
      <c r="L8" s="110">
        <f t="shared" si="0"/>
        <v>8.7448728465955666E-2</v>
      </c>
      <c r="M8" s="110">
        <f t="shared" si="1"/>
        <v>7.0760410380205155E-2</v>
      </c>
      <c r="N8" s="111">
        <f t="shared" si="2"/>
        <v>0.10714285714285714</v>
      </c>
      <c r="O8" s="111">
        <f t="shared" si="3"/>
        <v>6.3870967741935389E-2</v>
      </c>
    </row>
    <row r="9" spans="3:15" ht="14.45" customHeight="1" x14ac:dyDescent="0.25">
      <c r="C9" t="s">
        <v>5</v>
      </c>
      <c r="D9" s="9">
        <v>106.05</v>
      </c>
      <c r="E9" s="9">
        <v>115.43</v>
      </c>
      <c r="F9" s="9">
        <v>123.57</v>
      </c>
      <c r="G9" s="9"/>
      <c r="H9" s="10">
        <v>22.65</v>
      </c>
      <c r="I9" s="10">
        <v>25.02</v>
      </c>
      <c r="J9" s="10">
        <v>26.61</v>
      </c>
      <c r="K9" s="9"/>
      <c r="L9" s="110">
        <f t="shared" si="0"/>
        <v>8.8448844884488537E-2</v>
      </c>
      <c r="M9" s="110">
        <f t="shared" si="1"/>
        <v>7.051892922117288E-2</v>
      </c>
      <c r="N9" s="111">
        <f t="shared" si="2"/>
        <v>0.10463576158940402</v>
      </c>
      <c r="O9" s="111">
        <f t="shared" si="3"/>
        <v>6.3549160671462823E-2</v>
      </c>
    </row>
    <row r="10" spans="3:15" ht="14.45" customHeight="1" x14ac:dyDescent="0.25">
      <c r="C10" t="s">
        <v>6</v>
      </c>
      <c r="D10" s="9">
        <v>160.19999999999999</v>
      </c>
      <c r="E10" s="9">
        <v>174.41</v>
      </c>
      <c r="F10" s="9">
        <v>186.69</v>
      </c>
      <c r="G10" s="9"/>
      <c r="H10" s="10">
        <v>33.049999999999997</v>
      </c>
      <c r="I10" s="10">
        <v>36.450000000000003</v>
      </c>
      <c r="J10" s="10">
        <v>38.76</v>
      </c>
      <c r="K10" s="9"/>
      <c r="L10" s="110">
        <f t="shared" si="0"/>
        <v>8.8701622971285948E-2</v>
      </c>
      <c r="M10" s="110">
        <f t="shared" si="1"/>
        <v>7.0408806834470511E-2</v>
      </c>
      <c r="N10" s="111">
        <f t="shared" si="2"/>
        <v>0.10287443267776115</v>
      </c>
      <c r="O10" s="111">
        <f t="shared" si="3"/>
        <v>6.3374485596707678E-2</v>
      </c>
    </row>
    <row r="11" spans="3:15" ht="14.45" customHeight="1" x14ac:dyDescent="0.25">
      <c r="C11" t="s">
        <v>7</v>
      </c>
      <c r="D11" s="9">
        <v>331.7</v>
      </c>
      <c r="E11" s="9">
        <v>361.18</v>
      </c>
      <c r="F11" s="9">
        <v>386.57</v>
      </c>
      <c r="G11" s="9"/>
      <c r="H11" s="10">
        <v>66</v>
      </c>
      <c r="I11" s="10">
        <v>72.650000000000006</v>
      </c>
      <c r="J11" s="10">
        <v>77.239999999999995</v>
      </c>
      <c r="K11" s="9"/>
      <c r="L11" s="110">
        <f t="shared" si="0"/>
        <v>8.8875489900512569E-2</v>
      </c>
      <c r="M11" s="110">
        <f t="shared" si="1"/>
        <v>7.0297358657732942E-2</v>
      </c>
      <c r="N11" s="111">
        <f t="shared" si="2"/>
        <v>0.10075757575757584</v>
      </c>
      <c r="O11" s="111">
        <f t="shared" si="3"/>
        <v>6.3179628355127165E-2</v>
      </c>
    </row>
    <row r="12" spans="3:15" ht="14.45" customHeight="1" x14ac:dyDescent="0.25">
      <c r="C12" t="s">
        <v>8</v>
      </c>
      <c r="D12" s="9">
        <v>584.4</v>
      </c>
      <c r="E12" s="9">
        <v>636.41999999999996</v>
      </c>
      <c r="F12" s="9">
        <v>681.13</v>
      </c>
      <c r="G12" s="9"/>
      <c r="H12" s="10">
        <v>114.6</v>
      </c>
      <c r="I12" s="10">
        <v>125.99</v>
      </c>
      <c r="J12" s="10">
        <v>133.94</v>
      </c>
      <c r="K12" s="9"/>
      <c r="L12" s="110">
        <f t="shared" si="0"/>
        <v>8.9014373716632414E-2</v>
      </c>
      <c r="M12" s="110">
        <f t="shared" si="1"/>
        <v>7.0252349077653181E-2</v>
      </c>
      <c r="N12" s="111">
        <f t="shared" si="2"/>
        <v>9.9389179755671908E-2</v>
      </c>
      <c r="O12" s="111">
        <f t="shared" si="3"/>
        <v>6.3100246051273942E-2</v>
      </c>
    </row>
    <row r="13" spans="3:15" ht="14.45" customHeight="1" x14ac:dyDescent="0.25">
      <c r="C13" t="s">
        <v>9</v>
      </c>
      <c r="D13" s="9">
        <v>1279.3</v>
      </c>
      <c r="E13" s="9">
        <v>1393.33</v>
      </c>
      <c r="F13" s="9">
        <v>1491.17</v>
      </c>
      <c r="G13" s="9"/>
      <c r="H13" s="10">
        <v>248.1</v>
      </c>
      <c r="I13" s="10">
        <v>272.67</v>
      </c>
      <c r="J13" s="10">
        <v>289.86</v>
      </c>
      <c r="K13" s="9"/>
      <c r="L13" s="110">
        <f t="shared" si="0"/>
        <v>8.9134683029781892E-2</v>
      </c>
      <c r="M13" s="110">
        <f t="shared" si="1"/>
        <v>7.0220263684841466E-2</v>
      </c>
      <c r="N13" s="111">
        <f t="shared" si="2"/>
        <v>9.9032648125755837E-2</v>
      </c>
      <c r="O13" s="111">
        <f t="shared" si="3"/>
        <v>6.3043239080206828E-2</v>
      </c>
    </row>
    <row r="14" spans="3:15" ht="14.45" customHeight="1" x14ac:dyDescent="0.25">
      <c r="C14" t="s">
        <v>10</v>
      </c>
      <c r="D14" s="9">
        <v>2181.8000000000002</v>
      </c>
      <c r="E14" s="9">
        <v>2376.33</v>
      </c>
      <c r="F14" s="9">
        <v>2543.17</v>
      </c>
      <c r="G14" s="9"/>
      <c r="H14" s="10">
        <v>421.5</v>
      </c>
      <c r="I14" s="10">
        <v>463.17</v>
      </c>
      <c r="J14" s="10">
        <v>492.36</v>
      </c>
      <c r="K14" s="9"/>
      <c r="L14" s="110">
        <f t="shared" si="0"/>
        <v>8.916032633605267E-2</v>
      </c>
      <c r="M14" s="110">
        <f t="shared" si="1"/>
        <v>7.0209103954417165E-2</v>
      </c>
      <c r="N14" s="111">
        <f t="shared" si="2"/>
        <v>9.8861209964412847E-2</v>
      </c>
      <c r="O14" s="111">
        <f t="shared" si="3"/>
        <v>6.3022216464796929E-2</v>
      </c>
    </row>
    <row r="15" spans="3:15" ht="14.45" customHeight="1" x14ac:dyDescent="0.25">
      <c r="C15" t="s">
        <v>11</v>
      </c>
      <c r="D15" s="9">
        <v>3445.3</v>
      </c>
      <c r="E15" s="9">
        <v>3752.53</v>
      </c>
      <c r="F15" s="9">
        <v>4015.97</v>
      </c>
      <c r="G15" s="9"/>
      <c r="H15" s="10">
        <v>664.3</v>
      </c>
      <c r="I15" s="10">
        <v>729.87</v>
      </c>
      <c r="J15" s="10">
        <v>775.86</v>
      </c>
      <c r="K15" s="9"/>
      <c r="L15" s="110">
        <f t="shared" si="0"/>
        <v>8.917365686587525E-2</v>
      </c>
      <c r="M15" s="110">
        <f t="shared" si="1"/>
        <v>7.0203302838351619E-2</v>
      </c>
      <c r="N15" s="111">
        <f t="shared" si="2"/>
        <v>9.8705404184856321E-2</v>
      </c>
      <c r="O15" s="111">
        <f t="shared" si="3"/>
        <v>6.301122117637388E-2</v>
      </c>
    </row>
    <row r="16" spans="3:15" ht="14.45" customHeight="1" x14ac:dyDescent="0.25">
      <c r="I16" s="6"/>
      <c r="J16" s="7"/>
    </row>
    <row r="17" spans="1:22" ht="15.6" customHeight="1" x14ac:dyDescent="0.25">
      <c r="D17" s="226" t="s">
        <v>12</v>
      </c>
      <c r="E17" s="226"/>
      <c r="F17" s="227"/>
      <c r="G17" s="82">
        <v>42917</v>
      </c>
      <c r="H17" s="33" t="s">
        <v>17</v>
      </c>
      <c r="I17" s="81" t="s">
        <v>18</v>
      </c>
      <c r="J17" s="82">
        <v>43282</v>
      </c>
      <c r="K17" s="33" t="s">
        <v>17</v>
      </c>
      <c r="L17" s="81" t="s">
        <v>18</v>
      </c>
      <c r="M17" s="220" t="s">
        <v>13</v>
      </c>
      <c r="N17" s="221"/>
      <c r="O17" s="222"/>
      <c r="P17" s="83">
        <v>42917</v>
      </c>
      <c r="Q17" s="22" t="s">
        <v>17</v>
      </c>
      <c r="R17" s="23" t="s">
        <v>18</v>
      </c>
      <c r="S17" s="83">
        <v>43282</v>
      </c>
      <c r="T17" s="22" t="s">
        <v>17</v>
      </c>
      <c r="U17" s="23" t="s">
        <v>18</v>
      </c>
    </row>
    <row r="18" spans="1:22" ht="14.45" customHeight="1" x14ac:dyDescent="0.25">
      <c r="C18" s="45" t="s">
        <v>39</v>
      </c>
      <c r="D18" s="230" t="s">
        <v>42</v>
      </c>
      <c r="E18" s="231"/>
      <c r="F18" s="13" t="s">
        <v>43</v>
      </c>
      <c r="G18" s="34" t="s">
        <v>41</v>
      </c>
      <c r="H18" s="35" t="s">
        <v>40</v>
      </c>
      <c r="I18" s="36" t="s">
        <v>40</v>
      </c>
      <c r="J18" s="34" t="s">
        <v>41</v>
      </c>
      <c r="K18" s="35" t="s">
        <v>40</v>
      </c>
      <c r="L18" s="36" t="s">
        <v>40</v>
      </c>
      <c r="M18" s="218" t="s">
        <v>42</v>
      </c>
      <c r="N18" s="219"/>
      <c r="O18" s="2" t="s">
        <v>43</v>
      </c>
      <c r="P18" s="24" t="s">
        <v>41</v>
      </c>
      <c r="Q18" s="25" t="s">
        <v>40</v>
      </c>
      <c r="R18" s="26" t="s">
        <v>40</v>
      </c>
      <c r="S18" s="24" t="s">
        <v>41</v>
      </c>
      <c r="T18" s="25" t="s">
        <v>40</v>
      </c>
      <c r="U18" s="26" t="s">
        <v>40</v>
      </c>
    </row>
    <row r="19" spans="1:22" ht="14.45" customHeight="1" x14ac:dyDescent="0.25">
      <c r="C19" s="45">
        <v>1</v>
      </c>
      <c r="D19" s="16">
        <v>0</v>
      </c>
      <c r="E19" s="17">
        <v>21</v>
      </c>
      <c r="F19" s="18">
        <f>E19-D19</f>
        <v>21</v>
      </c>
      <c r="G19" s="27">
        <v>4.07</v>
      </c>
      <c r="H19" s="28">
        <f>F19*G19</f>
        <v>85.47</v>
      </c>
      <c r="I19" s="29">
        <f>H19</f>
        <v>85.47</v>
      </c>
      <c r="J19" s="39">
        <v>4.3600000000000003</v>
      </c>
      <c r="K19" s="40">
        <f>J19*F19</f>
        <v>91.56</v>
      </c>
      <c r="L19" s="41">
        <f>K19</f>
        <v>91.56</v>
      </c>
      <c r="M19" s="37">
        <v>0</v>
      </c>
      <c r="N19" s="17">
        <v>26</v>
      </c>
      <c r="O19" s="18">
        <f>N19-M19</f>
        <v>26</v>
      </c>
      <c r="P19" s="27">
        <f>+July2017_T1</f>
        <v>4.07</v>
      </c>
      <c r="Q19" s="28">
        <f>O19*P19</f>
        <v>105.82000000000001</v>
      </c>
      <c r="R19" s="29">
        <f>Q19</f>
        <v>105.82000000000001</v>
      </c>
      <c r="S19" s="39">
        <f>July2018_T1</f>
        <v>4.3600000000000003</v>
      </c>
      <c r="T19" s="40">
        <f>S19*O19</f>
        <v>113.36000000000001</v>
      </c>
      <c r="U19" s="41">
        <f>T19</f>
        <v>113.36000000000001</v>
      </c>
      <c r="V19" s="5"/>
    </row>
    <row r="20" spans="1:22" ht="14.45" customHeight="1" x14ac:dyDescent="0.25">
      <c r="C20" s="45">
        <v>2</v>
      </c>
      <c r="D20" s="16">
        <v>22</v>
      </c>
      <c r="E20" s="17">
        <v>48</v>
      </c>
      <c r="F20" s="18">
        <f>E20-D20+1</f>
        <v>27</v>
      </c>
      <c r="G20" s="27">
        <v>7.13</v>
      </c>
      <c r="H20" s="28">
        <f>F20*G20</f>
        <v>192.51</v>
      </c>
      <c r="I20" s="29">
        <f>H20+I19</f>
        <v>277.98</v>
      </c>
      <c r="J20" s="39">
        <v>7.62</v>
      </c>
      <c r="K20" s="40">
        <f>J20*F20</f>
        <v>205.74</v>
      </c>
      <c r="L20" s="41">
        <f>K20+L19</f>
        <v>297.3</v>
      </c>
      <c r="M20" s="37">
        <v>27</v>
      </c>
      <c r="N20" s="17">
        <v>59</v>
      </c>
      <c r="O20" s="18">
        <f>N20-M20+1</f>
        <v>33</v>
      </c>
      <c r="P20" s="27">
        <f>+July2017_T2</f>
        <v>7.13</v>
      </c>
      <c r="Q20" s="28">
        <f>O20*P20</f>
        <v>235.29</v>
      </c>
      <c r="R20" s="29">
        <f>Q20+R19</f>
        <v>341.11</v>
      </c>
      <c r="S20" s="39">
        <f>July2018_T2</f>
        <v>7.62</v>
      </c>
      <c r="T20" s="40">
        <f>S20*O20</f>
        <v>251.46</v>
      </c>
      <c r="U20" s="41">
        <f>T20+U19</f>
        <v>364.82000000000005</v>
      </c>
      <c r="V20" s="5"/>
    </row>
    <row r="21" spans="1:22" ht="14.45" customHeight="1" x14ac:dyDescent="0.25">
      <c r="C21" s="45">
        <v>3</v>
      </c>
      <c r="D21" s="16">
        <v>49</v>
      </c>
      <c r="E21" s="17">
        <v>80</v>
      </c>
      <c r="F21" s="18">
        <f>E21-D21+1</f>
        <v>32</v>
      </c>
      <c r="G21" s="27">
        <v>12.07</v>
      </c>
      <c r="H21" s="28">
        <f>F21*G21</f>
        <v>386.24</v>
      </c>
      <c r="I21" s="29">
        <f>H21+I20</f>
        <v>664.22</v>
      </c>
      <c r="J21" s="39">
        <v>12.91</v>
      </c>
      <c r="K21" s="40">
        <f>J21*F21</f>
        <v>413.12</v>
      </c>
      <c r="L21" s="41">
        <f>K21+L20</f>
        <v>710.42000000000007</v>
      </c>
      <c r="M21" s="37">
        <v>60</v>
      </c>
      <c r="N21" s="17">
        <v>99</v>
      </c>
      <c r="O21" s="18">
        <f>N21-M21+1</f>
        <v>40</v>
      </c>
      <c r="P21" s="27">
        <f>+July2017_T3</f>
        <v>12.07</v>
      </c>
      <c r="Q21" s="28">
        <f>O21*P21</f>
        <v>482.8</v>
      </c>
      <c r="R21" s="29">
        <f>Q21+R20</f>
        <v>823.91000000000008</v>
      </c>
      <c r="S21" s="39">
        <f>July2018_T3</f>
        <v>12.91</v>
      </c>
      <c r="T21" s="40">
        <f>S21*O21</f>
        <v>516.4</v>
      </c>
      <c r="U21" s="41">
        <f>T21+U20</f>
        <v>881.22</v>
      </c>
      <c r="V21" s="5"/>
    </row>
    <row r="22" spans="1:22" ht="14.45" customHeight="1" x14ac:dyDescent="0.25">
      <c r="C22" s="45">
        <v>4</v>
      </c>
      <c r="D22" s="19">
        <v>81</v>
      </c>
      <c r="E22" s="20">
        <v>999999</v>
      </c>
      <c r="F22" s="18">
        <f>SUM(F19:F21)</f>
        <v>80</v>
      </c>
      <c r="G22" s="30">
        <v>19.45</v>
      </c>
      <c r="H22" s="31"/>
      <c r="I22" s="32"/>
      <c r="J22" s="42">
        <v>20.81</v>
      </c>
      <c r="K22" s="43"/>
      <c r="L22" s="44"/>
      <c r="M22" s="38">
        <v>100</v>
      </c>
      <c r="N22" s="20">
        <v>9999999</v>
      </c>
      <c r="O22" s="18">
        <f>SUM(O19:O21)</f>
        <v>99</v>
      </c>
      <c r="P22" s="30">
        <f>+July2017_T4</f>
        <v>19.45</v>
      </c>
      <c r="Q22" s="31"/>
      <c r="R22" s="32"/>
      <c r="S22" s="42">
        <f>July2018_T4</f>
        <v>20.81</v>
      </c>
      <c r="T22" s="43"/>
      <c r="U22" s="44"/>
    </row>
    <row r="23" spans="1:22" s="11" customFormat="1" ht="14.45" customHeight="1" x14ac:dyDescent="0.25">
      <c r="D23" s="21"/>
      <c r="E23" s="21"/>
      <c r="F23" s="21"/>
      <c r="G23" s="12"/>
      <c r="H23" s="12"/>
      <c r="I23" s="12"/>
      <c r="J23" s="12"/>
      <c r="K23" s="12"/>
      <c r="L23" s="12"/>
      <c r="P23" s="12"/>
      <c r="Q23" s="12"/>
      <c r="R23" s="12"/>
      <c r="S23" s="12"/>
      <c r="T23" s="12"/>
      <c r="U23" s="12"/>
    </row>
    <row r="24" spans="1:22" s="11" customFormat="1" ht="14.45" customHeight="1" x14ac:dyDescent="0.25">
      <c r="G24" s="12"/>
      <c r="H24" s="12"/>
      <c r="I24" s="12"/>
      <c r="J24" s="12"/>
      <c r="K24" s="12"/>
      <c r="L24" s="12"/>
      <c r="M24" s="15"/>
      <c r="N24" s="15"/>
      <c r="P24" s="12"/>
      <c r="Q24" s="12"/>
      <c r="R24" s="12"/>
      <c r="S24" s="12"/>
      <c r="T24" s="12"/>
      <c r="U24" s="12"/>
    </row>
    <row r="25" spans="1:22" s="11" customFormat="1" ht="14.45" customHeight="1" x14ac:dyDescent="0.25">
      <c r="G25" s="12"/>
      <c r="H25" s="12"/>
      <c r="I25" s="12"/>
      <c r="J25" s="12"/>
      <c r="K25" s="12"/>
      <c r="L25" s="12"/>
      <c r="M25" s="15"/>
      <c r="N25" s="15"/>
      <c r="P25" s="12"/>
      <c r="Q25" s="12"/>
      <c r="R25" s="12"/>
      <c r="S25" s="12"/>
      <c r="T25" s="12"/>
      <c r="U25" s="12"/>
    </row>
    <row r="26" spans="1:22" s="11" customFormat="1" x14ac:dyDescent="0.25">
      <c r="G26" s="12"/>
      <c r="H26" s="12"/>
      <c r="I26" s="12"/>
      <c r="J26" s="12"/>
      <c r="K26" s="12"/>
      <c r="L26" s="12"/>
      <c r="P26" s="12"/>
      <c r="Q26" s="12"/>
      <c r="R26" s="12"/>
      <c r="S26" s="12"/>
      <c r="T26" s="12"/>
      <c r="U26" s="12"/>
    </row>
    <row r="27" spans="1:22" s="11" customFormat="1" x14ac:dyDescent="0.25">
      <c r="G27" s="12"/>
      <c r="H27" s="12"/>
      <c r="I27" s="12"/>
      <c r="J27" s="12"/>
      <c r="K27" s="12"/>
      <c r="L27" s="12"/>
      <c r="P27" s="12"/>
      <c r="Q27" s="12"/>
      <c r="R27" s="12"/>
      <c r="S27" s="12"/>
      <c r="T27" s="12"/>
      <c r="U27" s="12"/>
    </row>
    <row r="28" spans="1:22" s="11" customFormat="1" ht="31.5" x14ac:dyDescent="0.25">
      <c r="C28" s="236" t="s">
        <v>68</v>
      </c>
      <c r="D28" s="236"/>
      <c r="E28" s="236"/>
      <c r="F28" s="236"/>
      <c r="G28" s="236"/>
      <c r="H28" s="236"/>
      <c r="I28" s="236"/>
      <c r="J28" s="12"/>
      <c r="K28" s="12"/>
      <c r="L28" s="12"/>
      <c r="P28" s="12"/>
      <c r="Q28" s="12"/>
      <c r="R28" s="12"/>
      <c r="S28" s="12"/>
      <c r="T28" s="12"/>
      <c r="U28" s="12"/>
    </row>
    <row r="29" spans="1:22" s="11" customFormat="1" x14ac:dyDescent="0.25">
      <c r="G29" s="12"/>
      <c r="H29" s="12"/>
      <c r="I29" s="12"/>
      <c r="J29" s="12"/>
      <c r="K29" s="12"/>
      <c r="L29" s="12"/>
      <c r="P29" s="12"/>
      <c r="Q29" s="12"/>
      <c r="R29" s="12"/>
      <c r="S29" s="12"/>
      <c r="T29" s="12"/>
      <c r="U29" s="12"/>
    </row>
    <row r="30" spans="1:22" s="11" customFormat="1" x14ac:dyDescent="0.25">
      <c r="G30" s="12"/>
      <c r="H30" s="12"/>
      <c r="I30" s="12"/>
      <c r="J30" s="12"/>
      <c r="K30" s="12"/>
      <c r="L30" s="12"/>
      <c r="P30" s="12"/>
      <c r="Q30" s="12"/>
      <c r="R30" s="12"/>
      <c r="S30" s="12"/>
      <c r="T30" s="12"/>
      <c r="U30" s="12"/>
    </row>
    <row r="31" spans="1:22" ht="21" x14ac:dyDescent="0.35">
      <c r="A31" s="11"/>
      <c r="B31" s="46" t="s">
        <v>69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O31" s="14"/>
      <c r="P31" s="14"/>
    </row>
    <row r="32" spans="1:22" ht="18.75" x14ac:dyDescent="0.3">
      <c r="A32" s="11"/>
      <c r="B32" s="47" t="s">
        <v>38</v>
      </c>
      <c r="C32" s="48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4" ht="18.75" x14ac:dyDescent="0.3">
      <c r="A33" s="11"/>
      <c r="B33" s="47"/>
      <c r="C33" s="48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4" ht="21" x14ac:dyDescent="0.25">
      <c r="A34" s="11"/>
      <c r="B34" s="49" t="s">
        <v>34</v>
      </c>
      <c r="C34" s="50" t="s">
        <v>29</v>
      </c>
      <c r="D34" s="51"/>
      <c r="E34" s="51"/>
      <c r="F34" s="51"/>
      <c r="G34" s="51"/>
      <c r="H34" s="11"/>
      <c r="I34" s="11"/>
      <c r="J34" s="11"/>
      <c r="K34" s="11"/>
      <c r="L34" s="11"/>
      <c r="M34" s="11"/>
    </row>
    <row r="35" spans="1:14" ht="21" x14ac:dyDescent="0.25">
      <c r="A35" s="11"/>
      <c r="B35" s="49"/>
      <c r="C35" s="52" t="s">
        <v>20</v>
      </c>
      <c r="D35" s="53"/>
      <c r="E35" s="77" t="s">
        <v>23</v>
      </c>
      <c r="F35" s="51"/>
      <c r="G35" s="51"/>
      <c r="H35" s="11"/>
      <c r="I35" s="11"/>
      <c r="J35" s="11"/>
      <c r="K35" s="11"/>
      <c r="L35" s="11"/>
      <c r="M35" s="11"/>
    </row>
    <row r="36" spans="1:14" ht="21" x14ac:dyDescent="0.25">
      <c r="A36" s="11"/>
      <c r="B36" s="49"/>
      <c r="C36" s="79" t="s">
        <v>31</v>
      </c>
      <c r="D36" s="53"/>
      <c r="E36" s="54"/>
      <c r="F36" s="55"/>
      <c r="G36" s="51"/>
      <c r="H36" s="11"/>
      <c r="I36" s="11"/>
      <c r="J36" s="11"/>
      <c r="K36" s="11"/>
      <c r="L36" s="11"/>
      <c r="M36" s="11"/>
    </row>
    <row r="37" spans="1:14" ht="21" x14ac:dyDescent="0.25">
      <c r="A37" s="11"/>
      <c r="B37" s="49"/>
      <c r="C37" s="52" t="s">
        <v>21</v>
      </c>
      <c r="D37" s="53"/>
      <c r="E37" s="77" t="s">
        <v>23</v>
      </c>
      <c r="F37" s="51"/>
      <c r="G37" s="51"/>
      <c r="H37" s="11"/>
      <c r="I37" s="11"/>
      <c r="J37" s="11"/>
      <c r="K37" s="11"/>
      <c r="L37" s="11"/>
      <c r="M37" s="11"/>
    </row>
    <row r="38" spans="1:14" ht="21" x14ac:dyDescent="0.25">
      <c r="A38" s="11"/>
      <c r="B38" s="49"/>
      <c r="C38" s="56"/>
      <c r="D38" s="53"/>
      <c r="E38" s="57"/>
      <c r="F38" s="51"/>
      <c r="G38" s="51"/>
      <c r="H38" s="11"/>
      <c r="I38" s="11"/>
      <c r="J38" s="11"/>
      <c r="K38" s="11"/>
      <c r="L38" s="11"/>
      <c r="M38" s="11"/>
    </row>
    <row r="39" spans="1:14" ht="21" x14ac:dyDescent="0.25">
      <c r="A39" s="11"/>
      <c r="B39" s="49"/>
      <c r="C39" s="55"/>
      <c r="D39" s="58"/>
      <c r="E39" s="58" t="s">
        <v>0</v>
      </c>
      <c r="F39" s="51"/>
      <c r="G39" s="51"/>
      <c r="H39" s="11"/>
      <c r="I39" s="11"/>
      <c r="J39" s="11"/>
      <c r="K39" s="11"/>
      <c r="L39" s="11"/>
      <c r="M39" s="11"/>
    </row>
    <row r="40" spans="1:14" ht="21" x14ac:dyDescent="0.25">
      <c r="A40" s="11"/>
      <c r="B40" s="59" t="s">
        <v>35</v>
      </c>
      <c r="C40" s="60" t="s">
        <v>45</v>
      </c>
      <c r="D40" s="61"/>
      <c r="E40" s="78" t="s">
        <v>2</v>
      </c>
      <c r="F40" s="62" t="s">
        <v>46</v>
      </c>
      <c r="G40" s="63"/>
      <c r="H40" s="64"/>
      <c r="I40" s="64"/>
      <c r="J40" s="11"/>
      <c r="K40" s="11"/>
      <c r="L40" s="11"/>
      <c r="M40" s="11"/>
    </row>
    <row r="41" spans="1:14" ht="21.75" thickBot="1" x14ac:dyDescent="0.3">
      <c r="A41" s="11"/>
      <c r="B41" s="49"/>
      <c r="C41" s="65"/>
      <c r="D41" s="65"/>
      <c r="E41" s="51"/>
      <c r="F41" s="51"/>
      <c r="G41" s="51"/>
      <c r="H41" s="11"/>
      <c r="I41" s="11"/>
      <c r="J41" s="11"/>
      <c r="K41" s="11"/>
      <c r="L41" s="11"/>
      <c r="M41" s="11"/>
    </row>
    <row r="42" spans="1:14" ht="21" x14ac:dyDescent="0.25">
      <c r="A42" s="11"/>
      <c r="B42" s="49"/>
      <c r="C42" s="65"/>
      <c r="D42" s="238" t="s">
        <v>12</v>
      </c>
      <c r="E42" s="239"/>
      <c r="F42" s="240"/>
      <c r="G42" s="251" t="s">
        <v>27</v>
      </c>
      <c r="H42" s="252"/>
      <c r="I42" s="253"/>
      <c r="J42" s="11"/>
      <c r="M42" s="11"/>
    </row>
    <row r="43" spans="1:14" ht="21.75" thickBot="1" x14ac:dyDescent="0.3">
      <c r="A43" s="11"/>
      <c r="B43" s="49"/>
      <c r="C43" s="66"/>
      <c r="D43" s="241" t="s">
        <v>26</v>
      </c>
      <c r="E43" s="242"/>
      <c r="F43" s="243"/>
      <c r="G43" s="258" t="s">
        <v>28</v>
      </c>
      <c r="H43" s="259"/>
      <c r="I43" s="260"/>
      <c r="J43" s="11"/>
      <c r="M43" s="11"/>
    </row>
    <row r="44" spans="1:14" ht="38.25" thickBot="1" x14ac:dyDescent="0.3">
      <c r="A44" s="11"/>
      <c r="B44" s="49" t="s">
        <v>36</v>
      </c>
      <c r="C44" s="76" t="s">
        <v>44</v>
      </c>
      <c r="D44" s="244">
        <v>17</v>
      </c>
      <c r="E44" s="245"/>
      <c r="F44" s="246"/>
      <c r="G44" s="261">
        <v>17</v>
      </c>
      <c r="H44" s="262"/>
      <c r="I44" s="263"/>
      <c r="J44" s="84"/>
      <c r="M44" s="67"/>
    </row>
    <row r="45" spans="1:14" ht="21.6" customHeight="1" x14ac:dyDescent="0.25">
      <c r="A45" s="11"/>
      <c r="B45" s="11"/>
      <c r="C45" s="68" t="s">
        <v>33</v>
      </c>
      <c r="D45" s="247">
        <f>D44*748</f>
        <v>12716</v>
      </c>
      <c r="E45" s="248"/>
      <c r="F45" s="249"/>
      <c r="G45" s="264">
        <f>G44*748</f>
        <v>12716</v>
      </c>
      <c r="H45" s="265"/>
      <c r="I45" s="266"/>
      <c r="J45" s="80"/>
      <c r="M45" s="67"/>
    </row>
    <row r="46" spans="1:14" ht="15.75" x14ac:dyDescent="0.25">
      <c r="A46" s="11"/>
      <c r="B46" s="69"/>
      <c r="C46" s="70" t="s">
        <v>32</v>
      </c>
      <c r="D46" s="247">
        <f>ROUND(D45/60,0)</f>
        <v>212</v>
      </c>
      <c r="E46" s="248"/>
      <c r="F46" s="249"/>
      <c r="G46" s="267">
        <f>ROUND(G45/60,0)</f>
        <v>212</v>
      </c>
      <c r="H46" s="268"/>
      <c r="I46" s="269"/>
      <c r="J46" s="80"/>
      <c r="M46" s="67"/>
    </row>
    <row r="47" spans="1:14" ht="4.1500000000000004" customHeight="1" thickBot="1" x14ac:dyDescent="0.3">
      <c r="A47" s="11"/>
      <c r="B47" s="69"/>
      <c r="C47" s="70"/>
      <c r="D47" s="97"/>
      <c r="E47" s="98"/>
      <c r="F47" s="99"/>
      <c r="G47" s="86"/>
      <c r="H47" s="87"/>
      <c r="I47" s="109"/>
      <c r="J47" s="80"/>
      <c r="M47" s="67"/>
    </row>
    <row r="48" spans="1:14" ht="47.25" x14ac:dyDescent="0.25">
      <c r="A48" s="11"/>
      <c r="B48" s="11"/>
      <c r="C48" s="71"/>
      <c r="D48" s="100" t="s">
        <v>67</v>
      </c>
      <c r="E48" s="100" t="s">
        <v>70</v>
      </c>
      <c r="F48" s="250" t="s">
        <v>52</v>
      </c>
      <c r="G48" s="88" t="s">
        <v>67</v>
      </c>
      <c r="H48" s="88" t="s">
        <v>70</v>
      </c>
      <c r="I48" s="270" t="s">
        <v>52</v>
      </c>
      <c r="J48" s="67"/>
      <c r="M48" s="67"/>
      <c r="N48" s="1"/>
    </row>
    <row r="49" spans="1:14" ht="15.75" x14ac:dyDescent="0.25">
      <c r="A49" s="11"/>
      <c r="B49" s="11"/>
      <c r="C49" s="72" t="s">
        <v>37</v>
      </c>
      <c r="D49" s="101">
        <f>IF(E35="yes",0,VLOOKUP($E$40,$C$6:$F$15,3,FALSE))</f>
        <v>36.79</v>
      </c>
      <c r="E49" s="102">
        <f>IF(OR(E35="yes",E37="yes"),0,VLOOKUP($E$40,$C$6:$F$15,4,FALSE))</f>
        <v>39.409999999999997</v>
      </c>
      <c r="F49" s="250"/>
      <c r="G49" s="89">
        <f>D49</f>
        <v>36.79</v>
      </c>
      <c r="H49" s="90">
        <f>E49</f>
        <v>39.409999999999997</v>
      </c>
      <c r="I49" s="270"/>
      <c r="J49" s="85"/>
      <c r="M49" s="85"/>
      <c r="N49" s="1"/>
    </row>
    <row r="50" spans="1:14" ht="15.75" x14ac:dyDescent="0.25">
      <c r="A50" s="11"/>
      <c r="B50" s="11"/>
      <c r="C50" s="73" t="s">
        <v>16</v>
      </c>
      <c r="D50" s="103">
        <f>IF(E35="yes",0,VLOOKUP($E$40,C6:J15,7,FALSE))</f>
        <v>9.7799999999999994</v>
      </c>
      <c r="E50" s="104">
        <f>IF(OR(E35="yes",E37="yes"),0,VLOOKUP($E$40,C6:J15,8,FALSE))</f>
        <v>10.41</v>
      </c>
      <c r="F50" s="250"/>
      <c r="G50" s="91">
        <f>D50</f>
        <v>9.7799999999999994</v>
      </c>
      <c r="H50" s="92">
        <f>E50</f>
        <v>10.41</v>
      </c>
      <c r="I50" s="270"/>
      <c r="J50" s="85"/>
      <c r="M50" s="85"/>
    </row>
    <row r="51" spans="1:14" ht="15.75" x14ac:dyDescent="0.25">
      <c r="A51" s="11"/>
      <c r="B51" s="11"/>
      <c r="C51" s="73" t="s">
        <v>30</v>
      </c>
      <c r="D51" s="105">
        <f>IF($D$44&gt;Winter3_high,(I21+(($D$44-Winter3_high))*July2017_T4),IF(AND($D$44&lt;Winter4_lows,$D$44&gt;Winter2_high),(I20+(($D$44-Winter2_high)*July2017_T3)),IF(AND($D$44&lt;Winter3_lows,$D$44&gt;Winter1_high),(Cuml_T1+(($D$44-Winter1_high)*July2017_T2)),IF(AND($D$44&lt;Winter2_lows,$D$44&gt;Winter1_lows),$D$44*July2017_T1,0))))</f>
        <v>69.19</v>
      </c>
      <c r="E51" s="106">
        <f>IF($D$44&gt;Winter3_high,(L21+(($D$44-Winter3_high))*July2018_T4),IF(AND($D$44&lt;Winter4_lows,$D$44&gt;Winter2_high),(L20+(($D$44-Winter2_high)*July2018_T3)),IF(AND($D$44&lt;Winter3_lows,$D$44&gt;Winter1_high),(L19+(($D$44-Winter1_high)*July2018_T2)),IF(AND($D$44&lt;Winter2_lows,$D$44&gt;Winter1_lows),$D$44*July2018_T1,0))))</f>
        <v>74.12</v>
      </c>
      <c r="F51" s="250"/>
      <c r="G51" s="93">
        <f>IF($G$44&gt;Summer3_high,(R21+(($G$44-Summer3_high))*July2017_T4),IF(AND($G$44&lt;Summer4_lows,$G$44&gt;Summer2_high),(R20+(($G$44-Summer2_high)*July2017_T3)),IF(AND($G$44&lt;Summer3_lows,$G$44&gt;Summer1_high),(R19+(($G$44-Summer1_high)*July2017_T2)),IF(AND($G$44&lt;Summer2_lows,$G$44&gt;Summer1_lows),$G$44*July2017_T1,0))))</f>
        <v>69.19</v>
      </c>
      <c r="H51" s="94">
        <f>IF($G$44&gt;Summer3_high,(U21+(($G$44-Summer3_high))*July2018_T4),IF(AND($G$44&lt;Summer4_lows,$G$44&gt;Summer2_high),(U20+(($G$44-Summer2_high)*July2018_T3)),IF(AND($G$44&lt;Summer3_lows,$G$44&gt;Summer1_high),(U19+(($G$44-Summer1_high)*July2018_T2)),IF(AND($G$44&lt;Summer2_lows,$G$44&gt;Summer1_lows),$G$44*July2018_T1,0))))</f>
        <v>74.12</v>
      </c>
      <c r="I51" s="270"/>
      <c r="J51" s="67"/>
      <c r="M51" s="67"/>
    </row>
    <row r="52" spans="1:14" ht="15.75" x14ac:dyDescent="0.25">
      <c r="A52" s="11"/>
      <c r="B52" s="11"/>
      <c r="C52" s="73" t="s">
        <v>24</v>
      </c>
      <c r="D52" s="107">
        <f>SUM(D49:D51)</f>
        <v>115.75999999999999</v>
      </c>
      <c r="E52" s="108">
        <f>SUM(E49:E51)</f>
        <v>123.94</v>
      </c>
      <c r="F52" s="237">
        <f>(E52-D52)/D52</f>
        <v>7.0663441603317279E-2</v>
      </c>
      <c r="G52" s="95">
        <f>SUM(G49:G51)</f>
        <v>115.75999999999999</v>
      </c>
      <c r="H52" s="96">
        <f>SUM(H49:H51)</f>
        <v>123.94</v>
      </c>
      <c r="I52" s="233">
        <f>(H52-G52)/G52</f>
        <v>7.0663441603317279E-2</v>
      </c>
      <c r="J52" s="67"/>
      <c r="M52" s="67"/>
    </row>
    <row r="53" spans="1:14" ht="15.75" x14ac:dyDescent="0.25">
      <c r="A53" s="11"/>
      <c r="B53" s="11"/>
      <c r="C53" s="73" t="s">
        <v>14</v>
      </c>
      <c r="D53" s="228">
        <f>E52-D52</f>
        <v>8.1800000000000068</v>
      </c>
      <c r="E53" s="229"/>
      <c r="F53" s="234"/>
      <c r="G53" s="224">
        <f>H52-G52</f>
        <v>8.1800000000000068</v>
      </c>
      <c r="H53" s="225"/>
      <c r="I53" s="234"/>
      <c r="J53" s="11"/>
      <c r="M53" s="11"/>
    </row>
    <row r="54" spans="1:14" ht="16.5" thickBot="1" x14ac:dyDescent="0.3">
      <c r="A54" s="11"/>
      <c r="B54" s="11"/>
      <c r="C54" s="72" t="s">
        <v>25</v>
      </c>
      <c r="D54" s="256">
        <f>ROUND(D53/2,2)</f>
        <v>4.09</v>
      </c>
      <c r="E54" s="257"/>
      <c r="F54" s="235"/>
      <c r="G54" s="254">
        <f>ROUND(G53/2,2)</f>
        <v>4.09</v>
      </c>
      <c r="H54" s="255"/>
      <c r="I54" s="235"/>
      <c r="J54" s="67"/>
      <c r="M54" s="11"/>
    </row>
    <row r="55" spans="1:14" x14ac:dyDescent="0.25">
      <c r="A55" s="11"/>
      <c r="B55" s="11"/>
      <c r="C55" s="74"/>
      <c r="D55" s="75"/>
      <c r="E55" s="75"/>
      <c r="F55" s="75"/>
      <c r="G55" s="75"/>
      <c r="H55" s="67"/>
      <c r="I55" s="67"/>
      <c r="J55" s="67"/>
      <c r="K55" s="67"/>
      <c r="L55" s="67"/>
      <c r="M55" s="67"/>
    </row>
    <row r="56" spans="1:14" x14ac:dyDescent="0.25">
      <c r="A56" s="11"/>
      <c r="B56" s="11"/>
      <c r="C56" s="67"/>
      <c r="D56" s="75"/>
      <c r="E56" s="75"/>
      <c r="F56" s="75"/>
      <c r="G56" s="75"/>
      <c r="H56" s="67"/>
      <c r="I56" s="67"/>
      <c r="J56" s="67"/>
      <c r="K56" s="67"/>
      <c r="L56" s="67"/>
      <c r="M56" s="67"/>
    </row>
    <row r="57" spans="1:14" x14ac:dyDescent="0.25">
      <c r="A57" s="11"/>
      <c r="B57" s="11"/>
      <c r="C57" s="67"/>
      <c r="D57" s="12"/>
      <c r="E57" s="12"/>
      <c r="F57" s="75"/>
      <c r="G57" s="75"/>
      <c r="H57" s="67"/>
      <c r="I57" s="67"/>
      <c r="J57" s="67"/>
      <c r="K57" s="67"/>
      <c r="L57" s="67"/>
      <c r="M57" s="67"/>
    </row>
    <row r="58" spans="1:14" x14ac:dyDescent="0.25">
      <c r="A58" s="11"/>
      <c r="B58" s="11"/>
      <c r="C58" s="67"/>
      <c r="D58" s="75"/>
      <c r="E58" s="75"/>
      <c r="F58" s="75"/>
      <c r="G58" s="75"/>
      <c r="H58" s="67"/>
      <c r="I58" s="67"/>
      <c r="J58" s="67"/>
      <c r="K58" s="67"/>
      <c r="L58" s="67"/>
      <c r="M58" s="67"/>
    </row>
    <row r="59" spans="1:14" x14ac:dyDescent="0.25">
      <c r="A59" s="11"/>
      <c r="B59" s="11"/>
      <c r="C59" s="67"/>
      <c r="D59" s="75"/>
      <c r="E59" s="75"/>
      <c r="F59" s="75"/>
      <c r="G59" s="75"/>
      <c r="H59" s="67"/>
      <c r="I59" s="67"/>
      <c r="J59" s="67"/>
      <c r="K59" s="67"/>
      <c r="L59" s="67"/>
      <c r="M59" s="11"/>
    </row>
    <row r="60" spans="1:14" x14ac:dyDescent="0.25">
      <c r="A60" s="11"/>
      <c r="B60" s="11"/>
      <c r="C60" s="67"/>
      <c r="D60" s="75"/>
      <c r="E60" s="75"/>
      <c r="F60" s="75"/>
      <c r="G60" s="75"/>
      <c r="H60" s="67"/>
      <c r="I60" s="67"/>
      <c r="J60" s="67"/>
      <c r="K60" s="67"/>
      <c r="L60" s="67"/>
      <c r="M60" s="11"/>
    </row>
    <row r="61" spans="1:14" x14ac:dyDescent="0.25">
      <c r="C61" s="1"/>
      <c r="D61" s="4"/>
      <c r="E61" s="4"/>
      <c r="F61" s="4"/>
      <c r="G61" s="4"/>
      <c r="H61" s="1"/>
      <c r="I61" s="1"/>
      <c r="J61" s="1"/>
      <c r="K61" s="1"/>
      <c r="L61" s="1"/>
    </row>
    <row r="62" spans="1:14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4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</row>
  </sheetData>
  <mergeCells count="27">
    <mergeCell ref="D45:F45"/>
    <mergeCell ref="D46:F46"/>
    <mergeCell ref="F48:F51"/>
    <mergeCell ref="G42:I42"/>
    <mergeCell ref="G54:H54"/>
    <mergeCell ref="D54:E54"/>
    <mergeCell ref="G43:I43"/>
    <mergeCell ref="G44:I44"/>
    <mergeCell ref="G45:I45"/>
    <mergeCell ref="G46:I46"/>
    <mergeCell ref="I48:I51"/>
    <mergeCell ref="M18:N18"/>
    <mergeCell ref="M17:O17"/>
    <mergeCell ref="H4:J4"/>
    <mergeCell ref="D4:F4"/>
    <mergeCell ref="G53:H53"/>
    <mergeCell ref="D17:F17"/>
    <mergeCell ref="D53:E53"/>
    <mergeCell ref="D18:E18"/>
    <mergeCell ref="L4:M4"/>
    <mergeCell ref="N4:O4"/>
    <mergeCell ref="I52:I54"/>
    <mergeCell ref="C28:I28"/>
    <mergeCell ref="F52:F54"/>
    <mergeCell ref="D42:F42"/>
    <mergeCell ref="D43:F43"/>
    <mergeCell ref="D44:F44"/>
  </mergeCells>
  <conditionalFormatting sqref="J49:J50 M49:M50">
    <cfRule type="colorScale" priority="2">
      <colorScale>
        <cfvo type="min"/>
        <cfvo type="max"/>
        <color rgb="FFFF7128"/>
        <color rgb="FFFFEF9C"/>
      </colorScale>
    </cfRule>
  </conditionalFormatting>
  <conditionalFormatting sqref="E49:E50 H49:H50">
    <cfRule type="cellIs" dxfId="0" priority="1" operator="equal">
      <formula>0</formula>
    </cfRule>
  </conditionalFormatting>
  <dataValidations count="3">
    <dataValidation type="list" allowBlank="1" showInputMessage="1" showErrorMessage="1" sqref="E35 E37">
      <formula1>$D$1:$D$2</formula1>
    </dataValidation>
    <dataValidation type="list" allowBlank="1" showInputMessage="1" showErrorMessage="1" sqref="E40">
      <formula1>$C$6:$C$15</formula1>
    </dataValidation>
    <dataValidation type="list" allowBlank="1" showInputMessage="1" showErrorMessage="1" sqref="E38">
      <formula1>Program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51</vt:i4>
      </vt:variant>
    </vt:vector>
  </HeadingPairs>
  <TitlesOfParts>
    <vt:vector size="54" baseType="lpstr">
      <vt:lpstr>effective July 2022</vt:lpstr>
      <vt:lpstr>Sheet2</vt:lpstr>
      <vt:lpstr>effective July 20</vt:lpstr>
      <vt:lpstr>Cum_T1</vt:lpstr>
      <vt:lpstr>Cuml_T1</vt:lpstr>
      <vt:lpstr>Curr_T1</vt:lpstr>
      <vt:lpstr>Curr_T2</vt:lpstr>
      <vt:lpstr>Curr_T3</vt:lpstr>
      <vt:lpstr>Curr_T4</vt:lpstr>
      <vt:lpstr>July2017_T1</vt:lpstr>
      <vt:lpstr>July2017_T2</vt:lpstr>
      <vt:lpstr>July2017_T3</vt:lpstr>
      <vt:lpstr>July2017_T4</vt:lpstr>
      <vt:lpstr>July2018_T1</vt:lpstr>
      <vt:lpstr>July2018_T2</vt:lpstr>
      <vt:lpstr>July2018_T3</vt:lpstr>
      <vt:lpstr>July2018_T4</vt:lpstr>
      <vt:lpstr>Meter_current</vt:lpstr>
      <vt:lpstr>Meter_Size</vt:lpstr>
      <vt:lpstr>Meters</vt:lpstr>
      <vt:lpstr>'effective July 2022'!Print_Area</vt:lpstr>
      <vt:lpstr>Programs</vt:lpstr>
      <vt:lpstr>Proposed_T1</vt:lpstr>
      <vt:lpstr>Proposed_T2</vt:lpstr>
      <vt:lpstr>Proposed_T3</vt:lpstr>
      <vt:lpstr>Proposed_T4</vt:lpstr>
      <vt:lpstr>Summer1_hi</vt:lpstr>
      <vt:lpstr>Summer1_high</vt:lpstr>
      <vt:lpstr>Summer1_low</vt:lpstr>
      <vt:lpstr>Summer1_lows</vt:lpstr>
      <vt:lpstr>Summer2_hi</vt:lpstr>
      <vt:lpstr>Summer2_high</vt:lpstr>
      <vt:lpstr>Summer2_low</vt:lpstr>
      <vt:lpstr>Summer2_lows</vt:lpstr>
      <vt:lpstr>Summer3_hi</vt:lpstr>
      <vt:lpstr>Summer3_high</vt:lpstr>
      <vt:lpstr>Summer3_low</vt:lpstr>
      <vt:lpstr>Summer3_lows</vt:lpstr>
      <vt:lpstr>Summer4_low</vt:lpstr>
      <vt:lpstr>Summer4_lows</vt:lpstr>
      <vt:lpstr>Winter1_hi</vt:lpstr>
      <vt:lpstr>Winter1_high</vt:lpstr>
      <vt:lpstr>Winter1_low</vt:lpstr>
      <vt:lpstr>Winter1_lows</vt:lpstr>
      <vt:lpstr>Winter2_hi</vt:lpstr>
      <vt:lpstr>Winter2_high</vt:lpstr>
      <vt:lpstr>Winter2_low</vt:lpstr>
      <vt:lpstr>Winter2_lows</vt:lpstr>
      <vt:lpstr>Winter3_hi</vt:lpstr>
      <vt:lpstr>Winter3_high</vt:lpstr>
      <vt:lpstr>Winter3_low</vt:lpstr>
      <vt:lpstr>Winter3_lows</vt:lpstr>
      <vt:lpstr>Winter4_low</vt:lpstr>
      <vt:lpstr>Winter4_lows</vt:lpstr>
    </vt:vector>
  </TitlesOfParts>
  <Company>Marin Municipal Water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Oreen Delgado</dc:creator>
  <cp:lastModifiedBy>Adriane Mertens</cp:lastModifiedBy>
  <cp:lastPrinted>2019-04-19T16:22:48Z</cp:lastPrinted>
  <dcterms:created xsi:type="dcterms:W3CDTF">2015-10-02T23:09:51Z</dcterms:created>
  <dcterms:modified xsi:type="dcterms:W3CDTF">2023-03-17T00:04:45Z</dcterms:modified>
</cp:coreProperties>
</file>