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silvy\Desktop\"/>
    </mc:Choice>
  </mc:AlternateContent>
  <bookViews>
    <workbookView xWindow="0" yWindow="0" windowWidth="28800" windowHeight="11700"/>
  </bookViews>
  <sheets>
    <sheet name="Jul 1 23 to 26" sheetId="6" r:id="rId1"/>
    <sheet name="Sheet2" sheetId="2" state="hidden" r:id="rId2"/>
    <sheet name="_SSC" sheetId="4" state="veryHidden" r:id="rId3"/>
  </sheets>
  <externalReferences>
    <externalReference r:id="rId4"/>
  </externalReferences>
  <definedNames>
    <definedName name="Cum_T1" localSheetId="0">'Jul 1 23 to 26'!#REF!</definedName>
    <definedName name="Cum_T1">#REF!</definedName>
    <definedName name="Cuml_T1">#REF!</definedName>
    <definedName name="Curr_T1" localSheetId="0">'Jul 1 23 to 26'!#REF!</definedName>
    <definedName name="Curr_T1">#REF!</definedName>
    <definedName name="Curr_T2" localSheetId="0">'Jul 1 23 to 26'!#REF!</definedName>
    <definedName name="Curr_T2">#REF!</definedName>
    <definedName name="Curr_T3" localSheetId="0">'Jul 1 23 to 26'!#REF!</definedName>
    <definedName name="Curr_T3">#REF!</definedName>
    <definedName name="Curr_T4" localSheetId="0">'Jul 1 23 to 26'!#REF!</definedName>
    <definedName name="Curr_T4">#REF!</definedName>
    <definedName name="July2017_T1">#REF!</definedName>
    <definedName name="July2017_T2">#REF!</definedName>
    <definedName name="July2017_T3">#REF!</definedName>
    <definedName name="July2017_T4">#REF!</definedName>
    <definedName name="July2018_T1">#REF!</definedName>
    <definedName name="July2018_T2">#REF!</definedName>
    <definedName name="July2018_T3">#REF!</definedName>
    <definedName name="July2018_T4">#REF!</definedName>
    <definedName name="Meter_current" localSheetId="0">'Jul 1 23 to 26'!$C$5:$C$15</definedName>
    <definedName name="Meter_current">#REF!</definedName>
    <definedName name="Meter_Size" localSheetId="0">'Jul 1 23 to 26'!$C$5:$C$15</definedName>
    <definedName name="Meter_Size">#REF!</definedName>
    <definedName name="Meters">Sheet2!$B$7:$B$16</definedName>
    <definedName name="_xlnm.Print_Area" localSheetId="0">'Jul 1 23 to 26'!$A$31:$I$64</definedName>
    <definedName name="Program">[1]Sheet2!$B$19:$B$20</definedName>
    <definedName name="Programs">Sheet2!$B$19:$B$20</definedName>
    <definedName name="Proposed_T1" localSheetId="0">'Jul 1 23 to 26'!$G$19</definedName>
    <definedName name="Proposed_T1">#REF!</definedName>
    <definedName name="Proposed_T2" localSheetId="0">'Jul 1 23 to 26'!$G$20</definedName>
    <definedName name="Proposed_T2">#REF!</definedName>
    <definedName name="Proposed_T3" localSheetId="0">'Jul 1 23 to 26'!$G$21</definedName>
    <definedName name="Proposed_T3">#REF!</definedName>
    <definedName name="Proposed_T4" localSheetId="0">'Jul 1 23 to 26'!$G$22</definedName>
    <definedName name="Proposed_T4">#REF!</definedName>
    <definedName name="Summer1_hi" localSheetId="0">'Jul 1 23 to 26'!$K$19</definedName>
    <definedName name="Summer1_hi">#REF!</definedName>
    <definedName name="Summer1_high">#REF!</definedName>
    <definedName name="Summer1_low" localSheetId="0">'Jul 1 23 to 26'!$J$19</definedName>
    <definedName name="Summer1_low">#REF!</definedName>
    <definedName name="Summer1_lows">#REF!</definedName>
    <definedName name="Summer2_hi" localSheetId="0">'Jul 1 23 to 26'!$K$20</definedName>
    <definedName name="Summer2_hi">#REF!</definedName>
    <definedName name="Summer2_high">#REF!</definedName>
    <definedName name="Summer2_low" localSheetId="0">'Jul 1 23 to 26'!$J$20</definedName>
    <definedName name="Summer2_low">#REF!</definedName>
    <definedName name="Summer2_lows">#REF!</definedName>
    <definedName name="Summer3_hi" localSheetId="0">'Jul 1 23 to 26'!$K$21</definedName>
    <definedName name="Summer3_hi">#REF!</definedName>
    <definedName name="Summer3_high">#REF!</definedName>
    <definedName name="Summer3_low" localSheetId="0">'Jul 1 23 to 26'!$J$21</definedName>
    <definedName name="Summer3_low">#REF!</definedName>
    <definedName name="Summer3_lows">#REF!</definedName>
    <definedName name="Summer4_low" localSheetId="0">'Jul 1 23 to 26'!$J$22</definedName>
    <definedName name="Summer4_low">#REF!</definedName>
    <definedName name="Summer4_lows">#REF!</definedName>
    <definedName name="Winter1_hi" localSheetId="0">'Jul 1 23 to 26'!$E$19</definedName>
    <definedName name="Winter1_hi">#REF!</definedName>
    <definedName name="Winter1_high">#REF!</definedName>
    <definedName name="Winter1_low" localSheetId="0">'Jul 1 23 to 26'!$D$19</definedName>
    <definedName name="Winter1_low">#REF!</definedName>
    <definedName name="Winter1_lows">#REF!</definedName>
    <definedName name="Winter2_hi" localSheetId="0">'Jul 1 23 to 26'!$E$20</definedName>
    <definedName name="Winter2_hi">#REF!</definedName>
    <definedName name="Winter2_high">#REF!</definedName>
    <definedName name="Winter2_low" localSheetId="0">'Jul 1 23 to 26'!$D$20</definedName>
    <definedName name="Winter2_low">#REF!</definedName>
    <definedName name="Winter2_lows">#REF!</definedName>
    <definedName name="Winter3_hi" localSheetId="0">'Jul 1 23 to 26'!$E$21</definedName>
    <definedName name="Winter3_hi">#REF!</definedName>
    <definedName name="Winter3_high">#REF!</definedName>
    <definedName name="Winter3_low" localSheetId="0">'Jul 1 23 to 26'!$D$21</definedName>
    <definedName name="Winter3_low">#REF!</definedName>
    <definedName name="Winter3_lows">#REF!</definedName>
    <definedName name="Winter4_low" localSheetId="0">'Jul 1 23 to 26'!$D$22</definedName>
    <definedName name="Winter4_low">#REF!</definedName>
    <definedName name="Winter4_low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6" l="1"/>
  <c r="E42" i="6" s="1"/>
  <c r="E43" i="6" s="1"/>
  <c r="C53" i="6" l="1"/>
  <c r="H39" i="6" l="1"/>
  <c r="C56" i="6" l="1"/>
  <c r="H56" i="6"/>
  <c r="G56" i="6"/>
  <c r="F56" i="6"/>
  <c r="E56" i="6"/>
  <c r="H55" i="6"/>
  <c r="G55" i="6"/>
  <c r="F55" i="6"/>
  <c r="E55" i="6"/>
  <c r="H53" i="6"/>
  <c r="G53" i="6"/>
  <c r="F53" i="6"/>
  <c r="E53" i="6"/>
  <c r="C55" i="6" l="1"/>
  <c r="D55" i="6" s="1"/>
  <c r="F28" i="6" l="1"/>
  <c r="F27" i="6"/>
  <c r="F26" i="6"/>
  <c r="H26" i="6" l="1"/>
  <c r="I26" i="6" s="1"/>
  <c r="N26" i="6"/>
  <c r="O26" i="6" s="1"/>
  <c r="K26" i="6"/>
  <c r="Q26" i="6"/>
  <c r="R26" i="6" s="1"/>
  <c r="N27" i="6"/>
  <c r="K27" i="6"/>
  <c r="H27" i="6"/>
  <c r="Q27" i="6"/>
  <c r="R27" i="6" s="1"/>
  <c r="H28" i="6"/>
  <c r="N28" i="6"/>
  <c r="Q28" i="6"/>
  <c r="K28" i="6"/>
  <c r="F29" i="6"/>
  <c r="I27" i="6" l="1"/>
  <c r="O27" i="6"/>
  <c r="O28" i="6"/>
  <c r="G52" i="6" s="1"/>
  <c r="G57" i="6" s="1"/>
  <c r="R28" i="6"/>
  <c r="H52" i="6" s="1"/>
  <c r="H57" i="6" s="1"/>
  <c r="L26" i="6"/>
  <c r="I28" i="6"/>
  <c r="E52" i="6" s="1"/>
  <c r="E57" i="6" s="1"/>
  <c r="L27" i="6" l="1"/>
  <c r="L28" i="6" l="1"/>
  <c r="F52" i="6" s="1"/>
  <c r="F57" i="6" s="1"/>
  <c r="D53" i="6"/>
  <c r="M22" i="6"/>
  <c r="M21" i="6"/>
  <c r="L21" i="6"/>
  <c r="F21" i="6"/>
  <c r="H21" i="6" s="1"/>
  <c r="M20" i="6"/>
  <c r="L20" i="6"/>
  <c r="F20" i="6"/>
  <c r="H20" i="6" s="1"/>
  <c r="M19" i="6"/>
  <c r="L19" i="6"/>
  <c r="F19" i="6"/>
  <c r="H19" i="6" s="1"/>
  <c r="I19" i="6" s="1"/>
  <c r="M17" i="6"/>
  <c r="D56" i="6"/>
  <c r="J5" i="6"/>
  <c r="L5" i="6" s="1"/>
  <c r="L22" i="6" l="1"/>
  <c r="N19" i="6"/>
  <c r="O19" i="6" s="1"/>
  <c r="N21" i="6"/>
  <c r="N20" i="6"/>
  <c r="I20" i="6"/>
  <c r="F22" i="6"/>
  <c r="I21" i="6" l="1"/>
  <c r="C52" i="6"/>
  <c r="C57" i="6" s="1"/>
  <c r="O20" i="6"/>
  <c r="O21" i="6" l="1"/>
  <c r="D52" i="6" s="1"/>
  <c r="D57" i="6" s="1"/>
</calcChain>
</file>

<file path=xl/sharedStrings.xml><?xml version="1.0" encoding="utf-8"?>
<sst xmlns="http://schemas.openxmlformats.org/spreadsheetml/2006/main" count="129" uniqueCount="78">
  <si>
    <t>Watershed Fee</t>
  </si>
  <si>
    <t>Eff 7/1/23</t>
  </si>
  <si>
    <t>Eff 7/1/24</t>
  </si>
  <si>
    <t>Eff 7/1/25</t>
  </si>
  <si>
    <t>Eff 7/1/26</t>
  </si>
  <si>
    <t>Yes</t>
  </si>
  <si>
    <t>No</t>
  </si>
  <si>
    <t>Fixed Service Charge</t>
  </si>
  <si>
    <t>CMF - Bi Monthly</t>
  </si>
  <si>
    <t>Meter Size</t>
  </si>
  <si>
    <t>FY 2023 (7/1/22)</t>
  </si>
  <si>
    <t>5/8”</t>
  </si>
  <si>
    <t>3/4"</t>
  </si>
  <si>
    <t>1"</t>
  </si>
  <si>
    <t>1.5"</t>
  </si>
  <si>
    <t>2"</t>
  </si>
  <si>
    <t>Winter</t>
  </si>
  <si>
    <t>Tier</t>
  </si>
  <si>
    <t>Cuml</t>
  </si>
  <si>
    <t>Summer</t>
  </si>
  <si>
    <t>Tiers</t>
  </si>
  <si>
    <t>Tier Range CCF</t>
  </si>
  <si>
    <t>CCFs in Tier</t>
  </si>
  <si>
    <t>Tier Rates</t>
  </si>
  <si>
    <t>Chgs</t>
  </si>
  <si>
    <t>Effective 7/1/23</t>
  </si>
  <si>
    <t>Effective 7/1/24</t>
  </si>
  <si>
    <t>Effective 7/1/25</t>
  </si>
  <si>
    <t>Effective 7/1/26</t>
  </si>
  <si>
    <t xml:space="preserve">Single Family Residential Bi-Monthly Rate Calculator </t>
  </si>
  <si>
    <t>To calculate your water bill, please input the following information in:</t>
  </si>
  <si>
    <t>Blue Fields Only</t>
  </si>
  <si>
    <t>Step 1.</t>
  </si>
  <si>
    <r>
      <t>Enter your water meter size (</t>
    </r>
    <r>
      <rPr>
        <b/>
        <i/>
        <sz val="16"/>
        <color theme="5"/>
        <rFont val="Calibri"/>
        <family val="2"/>
        <scheme val="minor"/>
      </rPr>
      <t>select from the list</t>
    </r>
    <r>
      <rPr>
        <b/>
        <sz val="16"/>
        <color theme="5"/>
        <rFont val="Calibri"/>
        <family val="2"/>
        <scheme val="minor"/>
      </rPr>
      <t>)</t>
    </r>
  </si>
  <si>
    <t>Most residential customers have a 5/8" size meter</t>
  </si>
  <si>
    <t>Step 2.</t>
  </si>
  <si>
    <t>Enter your bi-monthly water usage in units*</t>
  </si>
  <si>
    <t>*1 unit or CCF (hundred cubic feet) = 748 gallons</t>
  </si>
  <si>
    <t>How many gallons do I use in 2 months?</t>
  </si>
  <si>
    <t>Average Gallons per Day</t>
  </si>
  <si>
    <t>Step 3.</t>
  </si>
  <si>
    <t>Are you enrolled in any Customer Assistance Programs?</t>
  </si>
  <si>
    <t>(Click here for more information about Marin Water's Discount Programs)</t>
  </si>
  <si>
    <t>Low Income Service Charge Waiver Program?</t>
  </si>
  <si>
    <t>OR</t>
  </si>
  <si>
    <t>Medically Disabled Program?</t>
  </si>
  <si>
    <t>Winter 2022</t>
  </si>
  <si>
    <t xml:space="preserve">Summer 2023  </t>
  </si>
  <si>
    <t>Starting July 1, 2023</t>
  </si>
  <si>
    <t>Starting July 1, 2024</t>
  </si>
  <si>
    <t>Starting July 1, 2025</t>
  </si>
  <si>
    <t>Starting July 1, 2026</t>
  </si>
  <si>
    <t>Dec 2022 - May 2023</t>
  </si>
  <si>
    <t>Jun 2023</t>
  </si>
  <si>
    <t>July '23 - June '24</t>
  </si>
  <si>
    <t>July '24 - June '25</t>
  </si>
  <si>
    <t>July '25 - June '26</t>
  </si>
  <si>
    <t>July '26 - June '27</t>
  </si>
  <si>
    <t xml:space="preserve">Based on Usage:  </t>
  </si>
  <si>
    <t>Water Use Tier Charge</t>
  </si>
  <si>
    <t>Watershed Management Fee</t>
  </si>
  <si>
    <t xml:space="preserve">Based on Meter Size:  </t>
  </si>
  <si>
    <t>Service Charge</t>
  </si>
  <si>
    <t>Capital Maintenance Fee</t>
  </si>
  <si>
    <t xml:space="preserve">Bi-Monthly Bill Total:  </t>
  </si>
  <si>
    <t>5/8" meter: Min. 10CCF - 7.04%</t>
  </si>
  <si>
    <t>3/4" meter: Min 17CCF - 6.73%</t>
  </si>
  <si>
    <t>1" meter: Min 15CCF - 7.42% (need to be at least 19CCF)</t>
  </si>
  <si>
    <t>3"</t>
  </si>
  <si>
    <t>4"</t>
  </si>
  <si>
    <t>6"</t>
  </si>
  <si>
    <t>8"</t>
  </si>
  <si>
    <t>10”</t>
  </si>
  <si>
    <t>{"IsHide":false,"SheetId":0,"Name":"Sheet1","HiddenRow":0,"VisibleRange":"","SheetTheme":{"TabColor":"","BodyColor":"","BodyImage":""}}</t>
  </si>
  <si>
    <t>{"ButtonStyle":0,"Name":"","HideSscPoweredlogo":false,"LiveShare":{"Enable":true},"CopyProtect":{"IsEnabled":false,"DomainName":""},"Theme":{"BgColor":"#FFFFFFFF","BgImage":"","InputBorderStyle":2},"SmartphoneSettings":{"ViewportLock":true,"UseOldViewEngine":false,"EnableZoom":false,"EnableSwipe":false,"HideToolbar":false,"InheritBackgroundColor":false,"CheckboxFlavor":1,"ShowBubble":false},"SmartphoneTheme":1,"Layout":0,"LayoutConfig":{"IsSamePagesHeight":false},"InputDetection":0,"Toolbar":{"Position":1,"IsSubmit":true,"IsPrint":true,"IsPrintAll":false,"IsReset":true,"IsUpdate":true},"AspnetConfig":{"BrowseUrl":"http://localhost/ssc","FileExtension":0},"NodejsConfig":{"LocalPort":3000},"ConfigureSubmit":{"IsShowCaptcha":false,"IsUseSscWebServer":true,"ReceiverCode":"edetwiler@marinwater.org","IsFreeService":false,"IsAdvanceService":true,"IsDemonstrationService":false,"AfterSuccessfulSubmit":"","AfterFailSubmit":"","AfterCancelWizard":"","IsUseOwnWebServer":false,"OwnWebServerURL":"","OwnWebServerTarget":"","SubmitTarget":0},"Flavor":0,"Edition":3,"IgnoreBgInputCell":false,"ResponsiveDesignSetting":{"Disabled":false}}</t>
  </si>
  <si>
    <t>{"Captcha":{"Heading":"Enter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required.","OkButton":"OK","DDLDefaultRequiredText":"Please Select"},"WizardButton":{"Next":"Next","Previous":"Previous","Cancel":"Cancel","Finish":"Finish"},"ToolbarButton":{"Submit":"Submit","Print":"Print","PrintAll":"Print All","Reset":"Reset","Update":"Update","Back":"Back"},"BrowserAndLocation":{"Browsers":[],"ConversionPath":"U:\\Converted Spreadsheets"},"AdvancedSettingsModels":[],"Dropbox":{"AccessToken":"","AccessSecret":""},"SpreadsheetServer":{"Username":"","Password":"","ServerUrl":""},"ConfigureSubmitDefault":{"Email":"edetwiler@marinwater.org"},"MessageBubble":{"Close":false,"TopMsg":0},"CustomizeTheme":{"Theme":""}}</t>
  </si>
  <si>
    <t>{"IsHide":true,"SheetId":0,"Name":"Sheet2","HiddenRow":0,"VisibleRange":"","SheetTheme":{"TabColor":"","BodyColor":"","BodyImage":""}}</t>
  </si>
  <si>
    <t>{"IsHide":true,"SheetId":0,"Name":"Sheet3","HiddenRow":0,"VisibleRange":"","SheetTheme":{"TabColor":"","BodyColor":"","BodyImage":""}}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</si>
</sst>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95959"/>
      <name val="Tw Cen MT"/>
      <family val="2"/>
    </font>
    <font>
      <b/>
      <sz val="11"/>
      <color rgb="FF595959"/>
      <name val="Tw Cen MT"/>
      <family val="2"/>
    </font>
    <font>
      <sz val="1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24"/>
      <color theme="5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b/>
      <i/>
      <sz val="14"/>
      <color theme="5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6"/>
      <color theme="5"/>
      <name val="Calibri"/>
      <family val="2"/>
      <scheme val="minor"/>
    </font>
    <font>
      <b/>
      <u/>
      <sz val="12"/>
      <color theme="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140">
    <xf numFmtId="0" fontId="0" fillId="0" borderId="0" xfId="0"/>
    <xf numFmtId="0" fontId="6" fillId="0" borderId="0" xfId="0" applyFont="1" applyFill="1" applyBorder="1" applyProtection="1"/>
    <xf numFmtId="0" fontId="15" fillId="3" borderId="0" xfId="0" applyFont="1" applyFill="1" applyBorder="1" applyAlignment="1" applyProtection="1">
      <alignment horizontal="center" vertical="center"/>
    </xf>
    <xf numFmtId="0" fontId="0" fillId="6" borderId="0" xfId="0" applyFill="1" applyBorder="1" applyProtection="1"/>
    <xf numFmtId="43" fontId="0" fillId="6" borderId="0" xfId="1" applyFont="1" applyFill="1" applyBorder="1" applyProtection="1"/>
    <xf numFmtId="0" fontId="6" fillId="6" borderId="0" xfId="0" applyFont="1" applyFill="1" applyBorder="1" applyProtection="1"/>
    <xf numFmtId="0" fontId="12" fillId="6" borderId="0" xfId="0" applyFont="1" applyFill="1" applyBorder="1" applyProtection="1"/>
    <xf numFmtId="0" fontId="10" fillId="6" borderId="0" xfId="0" applyFont="1" applyFill="1" applyBorder="1" applyProtection="1"/>
    <xf numFmtId="0" fontId="2" fillId="5" borderId="0" xfId="0" applyFont="1" applyFill="1" applyBorder="1" applyAlignment="1" applyProtection="1"/>
    <xf numFmtId="44" fontId="0" fillId="5" borderId="0" xfId="2" applyFont="1" applyFill="1" applyBorder="1" applyProtection="1"/>
    <xf numFmtId="0" fontId="2" fillId="7" borderId="0" xfId="0" applyFont="1" applyFill="1" applyBorder="1" applyAlignment="1" applyProtection="1"/>
    <xf numFmtId="0" fontId="2" fillId="6" borderId="0" xfId="0" applyFont="1" applyFill="1" applyBorder="1" applyAlignment="1" applyProtection="1"/>
    <xf numFmtId="0" fontId="2" fillId="8" borderId="0" xfId="0" applyFont="1" applyFill="1" applyBorder="1" applyAlignment="1" applyProtection="1"/>
    <xf numFmtId="0" fontId="0" fillId="8" borderId="0" xfId="0" applyFill="1" applyBorder="1" applyProtection="1"/>
    <xf numFmtId="0" fontId="2" fillId="6" borderId="0" xfId="0" applyFont="1" applyFill="1" applyBorder="1" applyAlignment="1" applyProtection="1">
      <alignment horizontal="right"/>
    </xf>
    <xf numFmtId="0" fontId="2" fillId="7" borderId="0" xfId="0" applyFont="1" applyFill="1" applyBorder="1" applyAlignment="1" applyProtection="1">
      <alignment horizontal="center" wrapText="1"/>
    </xf>
    <xf numFmtId="0" fontId="2" fillId="6" borderId="0" xfId="0" applyFont="1" applyFill="1" applyBorder="1" applyAlignment="1" applyProtection="1">
      <alignment horizontal="center" wrapText="1"/>
    </xf>
    <xf numFmtId="0" fontId="2" fillId="5" borderId="0" xfId="0" applyFont="1" applyFill="1" applyBorder="1" applyAlignment="1" applyProtection="1">
      <alignment horizontal="center" wrapText="1"/>
    </xf>
    <xf numFmtId="0" fontId="2" fillId="8" borderId="0" xfId="0" applyFont="1" applyFill="1" applyBorder="1" applyAlignment="1" applyProtection="1">
      <alignment horizontal="center" wrapText="1"/>
    </xf>
    <xf numFmtId="0" fontId="0" fillId="6" borderId="0" xfId="0" applyFill="1" applyBorder="1" applyAlignment="1" applyProtection="1">
      <alignment horizontal="right"/>
    </xf>
    <xf numFmtId="43" fontId="5" fillId="7" borderId="0" xfId="1" applyFont="1" applyFill="1" applyBorder="1" applyProtection="1"/>
    <xf numFmtId="8" fontId="5" fillId="7" borderId="0" xfId="1" applyNumberFormat="1" applyFont="1" applyFill="1" applyBorder="1" applyProtection="1"/>
    <xf numFmtId="43" fontId="5" fillId="6" borderId="0" xfId="1" applyFont="1" applyFill="1" applyBorder="1" applyProtection="1"/>
    <xf numFmtId="43" fontId="5" fillId="5" borderId="0" xfId="1" applyFont="1" applyFill="1" applyBorder="1" applyAlignment="1" applyProtection="1">
      <alignment horizontal="right" vertical="center" wrapText="1"/>
    </xf>
    <xf numFmtId="43" fontId="0" fillId="8" borderId="0" xfId="1" applyFont="1" applyFill="1" applyBorder="1" applyProtection="1"/>
    <xf numFmtId="8" fontId="0" fillId="8" borderId="0" xfId="0" applyNumberFormat="1" applyFill="1" applyBorder="1" applyProtection="1"/>
    <xf numFmtId="0" fontId="4" fillId="6" borderId="0" xfId="0" applyFont="1" applyFill="1" applyBorder="1" applyAlignment="1" applyProtection="1">
      <alignment horizontal="right" vertical="center" wrapText="1"/>
    </xf>
    <xf numFmtId="0" fontId="3" fillId="6" borderId="0" xfId="0" applyFont="1" applyFill="1" applyBorder="1" applyAlignment="1" applyProtection="1">
      <alignment horizontal="right" vertical="center" wrapText="1"/>
    </xf>
    <xf numFmtId="0" fontId="0" fillId="9" borderId="0" xfId="0" applyFill="1" applyBorder="1" applyProtection="1"/>
    <xf numFmtId="14" fontId="14" fillId="9" borderId="0" xfId="0" applyNumberFormat="1" applyFont="1" applyFill="1" applyBorder="1" applyAlignment="1" applyProtection="1">
      <alignment horizontal="center"/>
    </xf>
    <xf numFmtId="0" fontId="13" fillId="5" borderId="0" xfId="0" applyFont="1" applyFill="1" applyBorder="1" applyAlignment="1" applyProtection="1"/>
    <xf numFmtId="14" fontId="2" fillId="5" borderId="0" xfId="0" applyNumberFormat="1" applyFont="1" applyFill="1" applyBorder="1" applyAlignment="1" applyProtection="1">
      <alignment horizontal="center"/>
    </xf>
    <xf numFmtId="0" fontId="2" fillId="9" borderId="0" xfId="0" applyFont="1" applyFill="1" applyBorder="1" applyAlignment="1" applyProtection="1">
      <alignment horizontal="right" indent="2"/>
    </xf>
    <xf numFmtId="0" fontId="2" fillId="9" borderId="0" xfId="0" applyFont="1" applyFill="1" applyBorder="1" applyAlignment="1" applyProtection="1">
      <alignment horizontal="left"/>
    </xf>
    <xf numFmtId="0" fontId="0" fillId="9" borderId="0" xfId="0" applyFill="1" applyBorder="1" applyAlignment="1" applyProtection="1">
      <alignment horizontal="center"/>
    </xf>
    <xf numFmtId="7" fontId="0" fillId="9" borderId="0" xfId="1" applyNumberFormat="1" applyFont="1" applyFill="1" applyBorder="1" applyProtection="1"/>
    <xf numFmtId="0" fontId="0" fillId="5" borderId="0" xfId="0" applyFill="1" applyBorder="1" applyAlignment="1" applyProtection="1">
      <alignment horizontal="center"/>
    </xf>
    <xf numFmtId="7" fontId="0" fillId="5" borderId="0" xfId="1" applyNumberFormat="1" applyFont="1" applyFill="1" applyBorder="1" applyProtection="1"/>
    <xf numFmtId="43" fontId="0" fillId="6" borderId="0" xfId="0" applyNumberFormat="1" applyFill="1" applyBorder="1" applyProtection="1"/>
    <xf numFmtId="0" fontId="0" fillId="6" borderId="0" xfId="0" applyFill="1" applyBorder="1" applyAlignment="1" applyProtection="1">
      <alignment horizontal="center"/>
    </xf>
    <xf numFmtId="0" fontId="0" fillId="7" borderId="0" xfId="0" applyFill="1" applyBorder="1" applyProtection="1"/>
    <xf numFmtId="0" fontId="13" fillId="7" borderId="0" xfId="0" applyFont="1" applyFill="1" applyBorder="1" applyAlignment="1" applyProtection="1"/>
    <xf numFmtId="0" fontId="13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14" fontId="2" fillId="6" borderId="0" xfId="0" applyNumberFormat="1" applyFont="1" applyFill="1" applyBorder="1" applyAlignment="1" applyProtection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2" fillId="7" borderId="0" xfId="0" applyFont="1" applyFill="1" applyBorder="1" applyAlignment="1" applyProtection="1">
      <alignment horizontal="right" indent="2"/>
    </xf>
    <xf numFmtId="0" fontId="2" fillId="7" borderId="0" xfId="0" applyFont="1" applyFill="1" applyBorder="1" applyAlignment="1" applyProtection="1">
      <alignment horizontal="left"/>
    </xf>
    <xf numFmtId="0" fontId="0" fillId="7" borderId="0" xfId="0" applyFill="1" applyBorder="1" applyAlignment="1" applyProtection="1">
      <alignment horizontal="center"/>
    </xf>
    <xf numFmtId="7" fontId="0" fillId="7" borderId="0" xfId="1" applyNumberFormat="1" applyFont="1" applyFill="1" applyBorder="1" applyProtection="1"/>
    <xf numFmtId="7" fontId="0" fillId="2" borderId="0" xfId="1" applyNumberFormat="1" applyFont="1" applyFill="1" applyBorder="1" applyProtection="1"/>
    <xf numFmtId="7" fontId="0" fillId="6" borderId="0" xfId="1" applyNumberFormat="1" applyFont="1" applyFill="1" applyBorder="1" applyProtection="1"/>
    <xf numFmtId="0" fontId="0" fillId="0" borderId="0" xfId="0" applyBorder="1" applyProtection="1"/>
    <xf numFmtId="0" fontId="11" fillId="6" borderId="0" xfId="0" applyFont="1" applyFill="1" applyBorder="1" applyAlignment="1" applyProtection="1">
      <alignment horizontal="center" vertical="center"/>
    </xf>
    <xf numFmtId="0" fontId="7" fillId="6" borderId="0" xfId="0" applyFont="1" applyFill="1" applyBorder="1" applyProtection="1"/>
    <xf numFmtId="0" fontId="20" fillId="6" borderId="0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>
      <alignment vertical="center"/>
    </xf>
    <xf numFmtId="44" fontId="24" fillId="6" borderId="0" xfId="0" applyNumberFormat="1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horizontal="left" vertical="center"/>
    </xf>
    <xf numFmtId="0" fontId="18" fillId="6" borderId="0" xfId="0" applyFont="1" applyFill="1" applyBorder="1" applyAlignment="1" applyProtection="1">
      <alignment horizontal="left" vertical="center" wrapText="1"/>
    </xf>
    <xf numFmtId="0" fontId="15" fillId="6" borderId="4" xfId="0" applyFont="1" applyFill="1" applyBorder="1" applyAlignment="1" applyProtection="1">
      <alignment vertical="center"/>
    </xf>
    <xf numFmtId="0" fontId="15" fillId="6" borderId="5" xfId="0" applyFont="1" applyFill="1" applyBorder="1" applyAlignment="1" applyProtection="1">
      <alignment vertical="center"/>
    </xf>
    <xf numFmtId="0" fontId="15" fillId="6" borderId="6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 wrapText="1"/>
    </xf>
    <xf numFmtId="0" fontId="0" fillId="6" borderId="0" xfId="0" applyFill="1" applyBorder="1" applyAlignment="1" applyProtection="1">
      <alignment horizontal="center" vertical="center" wrapText="1"/>
    </xf>
    <xf numFmtId="0" fontId="17" fillId="6" borderId="0" xfId="0" applyFont="1" applyFill="1" applyBorder="1" applyAlignment="1" applyProtection="1">
      <alignment horizontal="center" vertical="top"/>
    </xf>
    <xf numFmtId="0" fontId="28" fillId="6" borderId="0" xfId="0" applyFont="1" applyFill="1" applyBorder="1" applyAlignment="1" applyProtection="1">
      <alignment horizontal="left" vertical="center" wrapText="1"/>
    </xf>
    <xf numFmtId="0" fontId="21" fillId="6" borderId="0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vertical="center"/>
    </xf>
    <xf numFmtId="0" fontId="15" fillId="6" borderId="1" xfId="0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center" vertical="center"/>
    </xf>
    <xf numFmtId="37" fontId="20" fillId="6" borderId="7" xfId="1" applyNumberFormat="1" applyFont="1" applyFill="1" applyBorder="1" applyAlignment="1" applyProtection="1">
      <alignment vertical="center"/>
    </xf>
    <xf numFmtId="0" fontId="0" fillId="6" borderId="0" xfId="0" applyFill="1" applyBorder="1" applyAlignment="1" applyProtection="1"/>
    <xf numFmtId="37" fontId="20" fillId="6" borderId="1" xfId="1" applyNumberFormat="1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right" vertical="center" indent="2"/>
    </xf>
    <xf numFmtId="0" fontId="29" fillId="6" borderId="0" xfId="0" applyFont="1" applyFill="1" applyBorder="1" applyAlignment="1" applyProtection="1">
      <alignment horizontal="right" vertical="center" indent="5"/>
    </xf>
    <xf numFmtId="0" fontId="9" fillId="0" borderId="0" xfId="0" applyFont="1" applyFill="1" applyBorder="1" applyAlignment="1" applyProtection="1">
      <alignment horizontal="center" vertical="center"/>
    </xf>
    <xf numFmtId="0" fontId="15" fillId="6" borderId="2" xfId="0" applyFont="1" applyFill="1" applyBorder="1" applyAlignment="1" applyProtection="1">
      <alignment horizontal="center" vertical="center"/>
    </xf>
    <xf numFmtId="0" fontId="15" fillId="6" borderId="3" xfId="0" applyFont="1" applyFill="1" applyBorder="1" applyAlignment="1" applyProtection="1">
      <alignment horizontal="center" vertical="center"/>
    </xf>
    <xf numFmtId="0" fontId="23" fillId="6" borderId="0" xfId="0" applyFont="1" applyFill="1" applyBorder="1" applyAlignment="1" applyProtection="1">
      <alignment horizontal="left" vertic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 wrapText="1"/>
    </xf>
    <xf numFmtId="0" fontId="23" fillId="6" borderId="0" xfId="0" applyFont="1" applyFill="1" applyBorder="1" applyAlignment="1" applyProtection="1">
      <alignment horizontal="right" vertical="center" wrapText="1"/>
    </xf>
    <xf numFmtId="0" fontId="26" fillId="4" borderId="1" xfId="0" applyFont="1" applyFill="1" applyBorder="1" applyAlignment="1" applyProtection="1">
      <alignment horizontal="center" vertical="top" wrapText="1"/>
    </xf>
    <xf numFmtId="17" fontId="26" fillId="5" borderId="2" xfId="0" quotePrefix="1" applyNumberFormat="1" applyFont="1" applyFill="1" applyBorder="1" applyAlignment="1" applyProtection="1">
      <alignment horizontal="center" vertical="top" wrapText="1"/>
    </xf>
    <xf numFmtId="0" fontId="26" fillId="7" borderId="1" xfId="0" applyFont="1" applyFill="1" applyBorder="1" applyAlignment="1" applyProtection="1">
      <alignment horizontal="center" vertical="top" wrapText="1"/>
    </xf>
    <xf numFmtId="0" fontId="25" fillId="6" borderId="0" xfId="0" applyFont="1" applyFill="1" applyBorder="1" applyAlignment="1" applyProtection="1">
      <alignment horizontal="right" vertical="center"/>
    </xf>
    <xf numFmtId="164" fontId="22" fillId="4" borderId="9" xfId="2" applyNumberFormat="1" applyFont="1" applyFill="1" applyBorder="1" applyAlignment="1" applyProtection="1">
      <alignment vertical="center"/>
    </xf>
    <xf numFmtId="164" fontId="22" fillId="5" borderId="8" xfId="2" applyNumberFormat="1" applyFont="1" applyFill="1" applyBorder="1" applyAlignment="1" applyProtection="1">
      <alignment vertical="center"/>
    </xf>
    <xf numFmtId="164" fontId="22" fillId="7" borderId="8" xfId="2" applyNumberFormat="1" applyFont="1" applyFill="1" applyBorder="1" applyAlignment="1" applyProtection="1">
      <alignment vertical="center"/>
    </xf>
    <xf numFmtId="0" fontId="20" fillId="6" borderId="0" xfId="0" applyFont="1" applyFill="1" applyBorder="1" applyAlignment="1" applyProtection="1">
      <alignment horizontal="right" vertical="center" indent="2"/>
    </xf>
    <xf numFmtId="164" fontId="20" fillId="4" borderId="1" xfId="2" applyNumberFormat="1" applyFont="1" applyFill="1" applyBorder="1" applyAlignment="1" applyProtection="1">
      <alignment vertical="center"/>
    </xf>
    <xf numFmtId="164" fontId="20" fillId="5" borderId="2" xfId="1" applyNumberFormat="1" applyFont="1" applyFill="1" applyBorder="1" applyAlignment="1" applyProtection="1">
      <alignment vertical="center"/>
    </xf>
    <xf numFmtId="164" fontId="20" fillId="7" borderId="1" xfId="2" applyNumberFormat="1" applyFont="1" applyFill="1" applyBorder="1" applyAlignment="1" applyProtection="1">
      <alignment vertical="center"/>
    </xf>
    <xf numFmtId="164" fontId="20" fillId="5" borderId="2" xfId="2" applyNumberFormat="1" applyFont="1" applyFill="1" applyBorder="1" applyAlignment="1" applyProtection="1">
      <alignment vertical="center" wrapText="1"/>
    </xf>
    <xf numFmtId="0" fontId="20" fillId="4" borderId="1" xfId="0" applyFont="1" applyFill="1" applyBorder="1" applyAlignment="1" applyProtection="1">
      <alignment vertical="center" wrapText="1"/>
    </xf>
    <xf numFmtId="0" fontId="20" fillId="5" borderId="2" xfId="0" applyFont="1" applyFill="1" applyBorder="1" applyAlignment="1" applyProtection="1">
      <alignment vertical="center" wrapText="1"/>
    </xf>
    <xf numFmtId="0" fontId="20" fillId="7" borderId="1" xfId="0" applyFont="1" applyFill="1" applyBorder="1" applyAlignment="1" applyProtection="1">
      <alignment vertical="center" wrapText="1"/>
    </xf>
    <xf numFmtId="164" fontId="20" fillId="4" borderId="1" xfId="2" applyNumberFormat="1" applyFont="1" applyFill="1" applyBorder="1" applyAlignment="1" applyProtection="1">
      <alignment vertical="center" wrapText="1"/>
    </xf>
    <xf numFmtId="164" fontId="20" fillId="7" borderId="1" xfId="2" applyNumberFormat="1" applyFont="1" applyFill="1" applyBorder="1" applyAlignment="1" applyProtection="1">
      <alignment vertical="center" wrapText="1"/>
    </xf>
    <xf numFmtId="0" fontId="22" fillId="6" borderId="0" xfId="0" applyFont="1" applyFill="1" applyBorder="1" applyAlignment="1" applyProtection="1">
      <alignment horizontal="right" vertical="center"/>
    </xf>
    <xf numFmtId="164" fontId="22" fillId="7" borderId="9" xfId="2" applyNumberFormat="1" applyFont="1" applyFill="1" applyBorder="1" applyAlignment="1" applyProtection="1">
      <alignment vertical="center"/>
    </xf>
    <xf numFmtId="43" fontId="0" fillId="6" borderId="0" xfId="1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horizontal="center" vertical="center"/>
    </xf>
    <xf numFmtId="0" fontId="16" fillId="6" borderId="0" xfId="0" applyFont="1" applyFill="1" applyBorder="1" applyAlignment="1" applyProtection="1">
      <alignment horizontal="right" vertical="center" wrapText="1" indent="2"/>
    </xf>
    <xf numFmtId="7" fontId="15" fillId="6" borderId="0" xfId="2" applyNumberFormat="1" applyFont="1" applyFill="1" applyBorder="1" applyAlignment="1" applyProtection="1">
      <alignment vertical="center"/>
    </xf>
    <xf numFmtId="9" fontId="27" fillId="6" borderId="0" xfId="3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19" fillId="6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43" fontId="0" fillId="0" borderId="0" xfId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43" fontId="0" fillId="0" borderId="0" xfId="1" applyFont="1" applyBorder="1" applyAlignment="1" applyProtection="1">
      <alignment horizontal="center" vertical="center" wrapText="1"/>
    </xf>
    <xf numFmtId="0" fontId="0" fillId="6" borderId="0" xfId="0" quotePrefix="1" applyFill="1" applyBorder="1" applyProtection="1"/>
    <xf numFmtId="0" fontId="21" fillId="3" borderId="0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Border="1" applyAlignment="1" applyProtection="1">
      <alignment horizontal="right" vertical="center"/>
    </xf>
    <xf numFmtId="0" fontId="17" fillId="6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top"/>
    </xf>
    <xf numFmtId="37" fontId="20" fillId="9" borderId="10" xfId="1" applyNumberFormat="1" applyFont="1" applyFill="1" applyBorder="1" applyAlignment="1" applyProtection="1">
      <alignment horizontal="center" vertical="center"/>
    </xf>
    <xf numFmtId="37" fontId="20" fillId="9" borderId="11" xfId="1" applyNumberFormat="1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right"/>
    </xf>
    <xf numFmtId="0" fontId="28" fillId="6" borderId="0" xfId="0" applyFont="1" applyFill="1" applyBorder="1" applyAlignment="1" applyProtection="1">
      <alignment horizontal="left" vertical="center"/>
    </xf>
    <xf numFmtId="0" fontId="2" fillId="9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2" fillId="7" borderId="0" xfId="0" applyFont="1" applyFill="1" applyBorder="1" applyAlignment="1" applyProtection="1">
      <alignment horizontal="center"/>
    </xf>
    <xf numFmtId="0" fontId="31" fillId="0" borderId="0" xfId="0" applyFont="1"/>
    <xf numFmtId="0" fontId="33" fillId="6" borderId="0" xfId="4" applyFont="1" applyFill="1" applyBorder="1" applyAlignment="1" applyProtection="1">
      <alignment vertical="center"/>
    </xf>
    <xf numFmtId="0" fontId="31" fillId="0" borderId="0" xfId="0" applyFont="1" applyAlignment="1">
      <alignment horizontal="left" indent="3"/>
    </xf>
    <xf numFmtId="0" fontId="31" fillId="0" borderId="0" xfId="0" applyFont="1" applyAlignment="1">
      <alignment horizontal="left" indent="4"/>
    </xf>
    <xf numFmtId="0" fontId="20" fillId="9" borderId="10" xfId="0" applyFont="1" applyFill="1" applyBorder="1" applyAlignment="1" applyProtection="1">
      <alignment horizontal="center" vertical="center"/>
    </xf>
    <xf numFmtId="0" fontId="20" fillId="9" borderId="10" xfId="0" applyFont="1" applyFill="1" applyBorder="1" applyAlignment="1" applyProtection="1">
      <alignment horizontal="center" vertical="center" wrapText="1"/>
    </xf>
    <xf numFmtId="0" fontId="13" fillId="9" borderId="0" xfId="0" applyFont="1" applyFill="1" applyBorder="1" applyAlignment="1" applyProtection="1">
      <alignment horizontal="left"/>
    </xf>
    <xf numFmtId="0" fontId="2" fillId="9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2" fillId="7" borderId="0" xfId="0" applyFont="1" applyFill="1" applyBorder="1" applyAlignment="1" applyProtection="1">
      <alignment horizontal="center"/>
    </xf>
    <xf numFmtId="0" fontId="17" fillId="6" borderId="0" xfId="0" applyFont="1" applyFill="1" applyBorder="1" applyAlignment="1" applyProtection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00"/>
      <color rgb="FF006600"/>
      <color rgb="FF3366CC"/>
      <color rgb="FF0000CC"/>
      <color rgb="FF000066"/>
      <color rgb="FF009999"/>
      <color rgb="FF0066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7819</xdr:colOff>
      <xdr:row>29</xdr:row>
      <xdr:rowOff>152400</xdr:rowOff>
    </xdr:from>
    <xdr:to>
      <xdr:col>1</xdr:col>
      <xdr:colOff>1245135</xdr:colOff>
      <xdr:row>32</xdr:row>
      <xdr:rowOff>87629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9" y="5505450"/>
          <a:ext cx="1842154" cy="8972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148695</xdr:rowOff>
    </xdr:from>
    <xdr:to>
      <xdr:col>8</xdr:col>
      <xdr:colOff>83343</xdr:colOff>
      <xdr:row>63</xdr:row>
      <xdr:rowOff>4763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33039"/>
          <a:ext cx="12537281" cy="8085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ADMIN/2017%20Rate%20Study%20Update/Bill%20Calculator%202017%20&amp;%202018%20updated%202-1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ective 7-1-18"/>
      <sheetName val="Sheet2"/>
      <sheetName val="_SSC"/>
      <sheetName val="Sheet3"/>
    </sheetNames>
    <sheetDataSet>
      <sheetData sheetId="0"/>
      <sheetData sheetId="1">
        <row r="19">
          <cell r="B19" t="str">
            <v>Yes</v>
          </cell>
        </row>
        <row r="20">
          <cell r="B20" t="str">
            <v>No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Composite">
  <a:themeElements>
    <a:clrScheme name="Custom 3">
      <a:dk1>
        <a:sysClr val="windowText" lastClr="000000"/>
      </a:dk1>
      <a:lt1>
        <a:sysClr val="window" lastClr="FFFFFF"/>
      </a:lt1>
      <a:dk2>
        <a:srgbClr val="5B6973"/>
      </a:dk2>
      <a:lt2>
        <a:srgbClr val="E7ECED"/>
      </a:lt2>
      <a:accent1>
        <a:srgbClr val="24643F"/>
      </a:accent1>
      <a:accent2>
        <a:srgbClr val="0071B5"/>
      </a:accent2>
      <a:accent3>
        <a:srgbClr val="DEAE00"/>
      </a:accent3>
      <a:accent4>
        <a:srgbClr val="B77BB4"/>
      </a:accent4>
      <a:accent5>
        <a:srgbClr val="E0773C"/>
      </a:accent5>
      <a:accent6>
        <a:srgbClr val="A98D63"/>
      </a:accent6>
      <a:hlink>
        <a:srgbClr val="26CBEC"/>
      </a:hlink>
      <a:folHlink>
        <a:srgbClr val="598C8C"/>
      </a:folHlink>
    </a:clrScheme>
    <a:fontScheme name="Composit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ompos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5000"/>
                <a:satMod val="300000"/>
              </a:schemeClr>
            </a:gs>
            <a:gs pos="12000">
              <a:schemeClr val="phClr">
                <a:tint val="50000"/>
                <a:shade val="90000"/>
                <a:satMod val="250000"/>
              </a:schemeClr>
            </a:gs>
            <a:gs pos="100000">
              <a:schemeClr val="phClr">
                <a:tint val="85000"/>
                <a:shade val="75000"/>
                <a:satMod val="1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75000"/>
                <a:shade val="95000"/>
                <a:satMod val="175000"/>
              </a:schemeClr>
            </a:gs>
            <a:gs pos="12000">
              <a:schemeClr val="phClr">
                <a:tint val="90000"/>
                <a:shade val="90000"/>
                <a:satMod val="150000"/>
              </a:schemeClr>
            </a:gs>
            <a:gs pos="100000">
              <a:schemeClr val="phClr">
                <a:tint val="100000"/>
                <a:shade val="75000"/>
                <a:satMod val="150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freezing" dir="t">
              <a:rot lat="0" lon="0" rev="6000000"/>
            </a:lightRig>
          </a:scene3d>
          <a:sp3d contourW="12700" prstMaterial="dkEdge">
            <a:bevelT w="44450" h="25400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80000"/>
                <a:satMod val="110000"/>
                <a:lumMod val="80000"/>
              </a:schemeClr>
            </a:gs>
            <a:gs pos="79000">
              <a:schemeClr val="phClr">
                <a:tint val="100000"/>
                <a:shade val="90000"/>
                <a:satMod val="105000"/>
                <a:lumMod val="10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1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hade val="100000"/>
                <a:satMod val="100000"/>
                <a:lumMod val="110000"/>
              </a:schemeClr>
            </a:gs>
            <a:gs pos="83000">
              <a:schemeClr val="phClr">
                <a:shade val="75000"/>
                <a:satMod val="200000"/>
              </a:schemeClr>
            </a:gs>
            <a:gs pos="100000">
              <a:schemeClr val="phClr">
                <a:shade val="90000"/>
                <a:satMod val="200000"/>
              </a:schemeClr>
            </a:gs>
          </a:gsLst>
          <a:path path="circle">
            <a:fillToRect l="75000" t="100000" b="3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rinwater.org/discou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202"/>
  <sheetViews>
    <sheetView tabSelected="1" topLeftCell="A30" zoomScaleNormal="100" workbookViewId="0">
      <pane ySplit="3" topLeftCell="A36" activePane="bottomLeft" state="frozen"/>
      <selection activeCell="A30" sqref="A30"/>
      <selection pane="bottomLeft" activeCell="A34" sqref="A34"/>
    </sheetView>
  </sheetViews>
  <sheetFormatPr defaultColWidth="9.1328125" defaultRowHeight="14.25" x14ac:dyDescent="0.45"/>
  <cols>
    <col min="1" max="1" width="9.1328125" style="52"/>
    <col min="2" max="2" width="32.265625" style="52" customWidth="1"/>
    <col min="3" max="4" width="25.59765625" style="52" customWidth="1"/>
    <col min="5" max="8" width="23.59765625" style="52" customWidth="1"/>
    <col min="9" max="10" width="5.86328125" style="52" customWidth="1"/>
    <col min="11" max="11" width="13.265625" style="3" customWidth="1"/>
    <col min="12" max="12" width="10.265625" style="3" customWidth="1"/>
    <col min="13" max="13" width="18.1328125" style="3" customWidth="1"/>
    <col min="14" max="14" width="10.265625" style="3" customWidth="1"/>
    <col min="15" max="15" width="10.3984375" style="3" bestFit="1" customWidth="1"/>
    <col min="16" max="16" width="17.59765625" style="3" customWidth="1"/>
    <col min="17" max="18" width="13.265625" style="3" customWidth="1"/>
    <col min="19" max="33" width="9.1328125" style="3"/>
    <col min="34" max="16384" width="9.1328125" style="52"/>
  </cols>
  <sheetData>
    <row r="1" spans="3:16" s="3" customFormat="1" hidden="1" x14ac:dyDescent="0.45">
      <c r="J1" s="8" t="s">
        <v>0</v>
      </c>
      <c r="K1" s="127" t="s">
        <v>1</v>
      </c>
      <c r="L1" s="127" t="s">
        <v>2</v>
      </c>
      <c r="M1" s="127" t="s">
        <v>3</v>
      </c>
      <c r="N1" s="127" t="s">
        <v>4</v>
      </c>
    </row>
    <row r="2" spans="3:16" s="3" customFormat="1" hidden="1" x14ac:dyDescent="0.45">
      <c r="D2" s="3" t="s">
        <v>5</v>
      </c>
      <c r="K2" s="9">
        <v>0.61</v>
      </c>
      <c r="L2" s="9">
        <v>0.62</v>
      </c>
      <c r="M2" s="9">
        <v>0.64</v>
      </c>
      <c r="N2" s="9">
        <v>0.66</v>
      </c>
    </row>
    <row r="3" spans="3:16" s="3" customFormat="1" hidden="1" x14ac:dyDescent="0.45">
      <c r="D3" s="3" t="s">
        <v>6</v>
      </c>
    </row>
    <row r="4" spans="3:16" s="3" customFormat="1" hidden="1" x14ac:dyDescent="0.45">
      <c r="D4" s="10" t="s">
        <v>7</v>
      </c>
      <c r="E4" s="10"/>
      <c r="F4" s="10"/>
      <c r="G4" s="10"/>
      <c r="H4" s="10"/>
      <c r="I4" s="11"/>
      <c r="J4" s="8" t="s">
        <v>0</v>
      </c>
      <c r="L4" s="12" t="s">
        <v>8</v>
      </c>
      <c r="M4" s="13"/>
      <c r="N4" s="11"/>
      <c r="O4" s="11"/>
    </row>
    <row r="5" spans="3:16" s="16" customFormat="1" ht="57" hidden="1" x14ac:dyDescent="0.45">
      <c r="C5" s="14" t="s">
        <v>9</v>
      </c>
      <c r="D5" s="15" t="s">
        <v>10</v>
      </c>
      <c r="E5" s="15" t="s">
        <v>1</v>
      </c>
      <c r="F5" s="15" t="s">
        <v>2</v>
      </c>
      <c r="G5" s="15" t="s">
        <v>3</v>
      </c>
      <c r="H5" s="15" t="s">
        <v>4</v>
      </c>
      <c r="J5" s="17" t="str">
        <f>+D5</f>
        <v>FY 2023 (7/1/22)</v>
      </c>
      <c r="L5" s="18" t="str">
        <f>+J5</f>
        <v>FY 2023 (7/1/22)</v>
      </c>
      <c r="M5" s="18" t="s">
        <v>1</v>
      </c>
      <c r="N5" s="18" t="s">
        <v>2</v>
      </c>
      <c r="O5" s="18" t="s">
        <v>3</v>
      </c>
      <c r="P5" s="18" t="s">
        <v>4</v>
      </c>
    </row>
    <row r="6" spans="3:16" s="3" customFormat="1" hidden="1" x14ac:dyDescent="0.45">
      <c r="C6" s="19" t="s">
        <v>11</v>
      </c>
      <c r="D6" s="20">
        <v>44.62</v>
      </c>
      <c r="E6" s="21">
        <v>48.04</v>
      </c>
      <c r="F6" s="21">
        <v>50.44</v>
      </c>
      <c r="G6" s="21">
        <v>52.96</v>
      </c>
      <c r="H6" s="21">
        <v>55.61</v>
      </c>
      <c r="I6" s="22"/>
      <c r="J6" s="23">
        <v>11.59</v>
      </c>
      <c r="K6" s="22"/>
      <c r="L6" s="24">
        <v>30.42</v>
      </c>
      <c r="M6" s="25">
        <v>31.5</v>
      </c>
      <c r="N6" s="25">
        <v>33.08</v>
      </c>
      <c r="O6" s="25">
        <v>34.729999999999997</v>
      </c>
      <c r="P6" s="25">
        <v>36.47</v>
      </c>
    </row>
    <row r="7" spans="3:16" s="3" customFormat="1" hidden="1" x14ac:dyDescent="0.45">
      <c r="C7" s="19" t="s">
        <v>12</v>
      </c>
      <c r="D7" s="20">
        <v>57.09</v>
      </c>
      <c r="E7" s="21">
        <v>61.99</v>
      </c>
      <c r="F7" s="21">
        <v>65.09</v>
      </c>
      <c r="G7" s="21">
        <v>68.34</v>
      </c>
      <c r="H7" s="21">
        <v>71.760000000000005</v>
      </c>
      <c r="I7" s="22"/>
      <c r="J7" s="23">
        <v>13.86</v>
      </c>
      <c r="K7" s="22"/>
      <c r="L7" s="24">
        <v>45.61</v>
      </c>
      <c r="M7" s="25">
        <v>44.11</v>
      </c>
      <c r="N7" s="25">
        <v>46.32</v>
      </c>
      <c r="O7" s="25">
        <v>48.64</v>
      </c>
      <c r="P7" s="25">
        <v>51.07</v>
      </c>
    </row>
    <row r="8" spans="3:16" s="3" customFormat="1" hidden="1" x14ac:dyDescent="0.45">
      <c r="C8" s="19" t="s">
        <v>13</v>
      </c>
      <c r="D8" s="20">
        <v>82.01</v>
      </c>
      <c r="E8" s="21">
        <v>72.459999999999994</v>
      </c>
      <c r="F8" s="21">
        <v>76.08</v>
      </c>
      <c r="G8" s="21">
        <v>79.88</v>
      </c>
      <c r="H8" s="21">
        <v>83.87</v>
      </c>
      <c r="I8" s="22"/>
      <c r="J8" s="23">
        <v>18.350000000000001</v>
      </c>
      <c r="K8" s="22"/>
      <c r="L8" s="24">
        <v>76.03</v>
      </c>
      <c r="M8" s="25">
        <v>53.56</v>
      </c>
      <c r="N8" s="25">
        <v>56.24</v>
      </c>
      <c r="O8" s="25">
        <v>59.05</v>
      </c>
      <c r="P8" s="25">
        <v>62</v>
      </c>
    </row>
    <row r="9" spans="3:16" s="3" customFormat="1" hidden="1" x14ac:dyDescent="0.45">
      <c r="C9" s="19" t="s">
        <v>14</v>
      </c>
      <c r="D9" s="20">
        <v>144.30000000000001</v>
      </c>
      <c r="E9" s="21">
        <v>142.22</v>
      </c>
      <c r="F9" s="21">
        <v>149.33000000000001</v>
      </c>
      <c r="G9" s="21">
        <v>156.80000000000001</v>
      </c>
      <c r="H9" s="21">
        <v>164.64</v>
      </c>
      <c r="I9" s="22"/>
      <c r="J9" s="23">
        <v>29.61</v>
      </c>
      <c r="K9" s="22"/>
      <c r="L9" s="24">
        <v>152.07</v>
      </c>
      <c r="M9" s="25">
        <v>116.57</v>
      </c>
      <c r="N9" s="25">
        <v>122.4</v>
      </c>
      <c r="O9" s="25">
        <v>128.52000000000001</v>
      </c>
      <c r="P9" s="25">
        <v>134.94999999999999</v>
      </c>
    </row>
    <row r="10" spans="3:16" s="3" customFormat="1" hidden="1" x14ac:dyDescent="0.45">
      <c r="C10" s="19" t="s">
        <v>15</v>
      </c>
      <c r="D10" s="20">
        <v>219.05</v>
      </c>
      <c r="E10" s="21">
        <v>222.45</v>
      </c>
      <c r="F10" s="21">
        <v>233.57</v>
      </c>
      <c r="G10" s="21">
        <v>245.25</v>
      </c>
      <c r="H10" s="21">
        <v>257.51</v>
      </c>
      <c r="I10" s="22"/>
      <c r="J10" s="23">
        <v>43.12</v>
      </c>
      <c r="K10" s="22"/>
      <c r="L10" s="24">
        <v>243.32</v>
      </c>
      <c r="M10" s="25">
        <v>189.03</v>
      </c>
      <c r="N10" s="25">
        <v>198.48</v>
      </c>
      <c r="O10" s="25">
        <v>208.4</v>
      </c>
      <c r="P10" s="25">
        <v>218.82</v>
      </c>
    </row>
    <row r="11" spans="3:16" s="3" customFormat="1" hidden="1" x14ac:dyDescent="0.45">
      <c r="C11" s="19"/>
      <c r="D11" s="20">
        <v>455.77</v>
      </c>
      <c r="E11" s="21"/>
      <c r="F11" s="21"/>
      <c r="G11" s="21"/>
      <c r="H11" s="21"/>
      <c r="I11" s="22"/>
      <c r="J11" s="23">
        <v>85.91</v>
      </c>
      <c r="K11" s="22"/>
      <c r="L11" s="24">
        <v>532.26</v>
      </c>
      <c r="M11" s="13"/>
      <c r="N11" s="13"/>
      <c r="O11" s="13"/>
      <c r="P11" s="13"/>
    </row>
    <row r="12" spans="3:16" s="3" customFormat="1" hidden="1" x14ac:dyDescent="0.45">
      <c r="C12" s="19"/>
      <c r="D12" s="20">
        <v>804.63</v>
      </c>
      <c r="E12" s="21"/>
      <c r="F12" s="21"/>
      <c r="G12" s="21"/>
      <c r="H12" s="21"/>
      <c r="I12" s="22"/>
      <c r="J12" s="23">
        <v>148.96</v>
      </c>
      <c r="K12" s="22"/>
      <c r="L12" s="24">
        <v>958.09</v>
      </c>
      <c r="M12" s="13"/>
      <c r="N12" s="13"/>
      <c r="O12" s="13"/>
      <c r="P12" s="13"/>
    </row>
    <row r="13" spans="3:16" s="3" customFormat="1" hidden="1" x14ac:dyDescent="0.45">
      <c r="C13" s="19"/>
      <c r="D13" s="20">
        <v>1763.97</v>
      </c>
      <c r="E13" s="21"/>
      <c r="F13" s="21"/>
      <c r="G13" s="21"/>
      <c r="H13" s="21"/>
      <c r="I13" s="22"/>
      <c r="J13" s="23">
        <v>322.37</v>
      </c>
      <c r="K13" s="22"/>
      <c r="L13" s="24">
        <v>2129.09</v>
      </c>
      <c r="M13" s="13"/>
      <c r="N13" s="13"/>
      <c r="O13" s="13"/>
      <c r="P13" s="13"/>
    </row>
    <row r="14" spans="3:16" s="3" customFormat="1" hidden="1" x14ac:dyDescent="0.45">
      <c r="C14" s="19"/>
      <c r="D14" s="20">
        <v>3009.87</v>
      </c>
      <c r="E14" s="21"/>
      <c r="F14" s="21"/>
      <c r="G14" s="21"/>
      <c r="H14" s="21"/>
      <c r="I14" s="22"/>
      <c r="J14" s="23">
        <v>547.55999999999995</v>
      </c>
      <c r="K14" s="22"/>
      <c r="L14" s="24">
        <v>3649.85</v>
      </c>
      <c r="M14" s="13"/>
      <c r="N14" s="13"/>
      <c r="O14" s="13"/>
      <c r="P14" s="13"/>
    </row>
    <row r="15" spans="3:16" s="3" customFormat="1" hidden="1" x14ac:dyDescent="0.45">
      <c r="C15" s="19"/>
      <c r="D15" s="20">
        <v>4754.13</v>
      </c>
      <c r="E15" s="21"/>
      <c r="F15" s="21"/>
      <c r="G15" s="21"/>
      <c r="H15" s="21"/>
      <c r="I15" s="22"/>
      <c r="J15" s="23">
        <v>862.84</v>
      </c>
      <c r="K15" s="22"/>
      <c r="L15" s="24">
        <v>5778.95</v>
      </c>
      <c r="M15" s="13"/>
      <c r="N15" s="13"/>
      <c r="O15" s="13"/>
      <c r="P15" s="13"/>
    </row>
    <row r="16" spans="3:16" s="3" customFormat="1" hidden="1" x14ac:dyDescent="0.45">
      <c r="I16" s="26"/>
      <c r="J16" s="27"/>
    </row>
    <row r="17" spans="3:22" s="3" customFormat="1" ht="15.75" hidden="1" x14ac:dyDescent="0.5">
      <c r="C17" s="28"/>
      <c r="D17" s="135" t="s">
        <v>16</v>
      </c>
      <c r="E17" s="135"/>
      <c r="F17" s="135"/>
      <c r="G17" s="29">
        <v>44743</v>
      </c>
      <c r="H17" s="126" t="s">
        <v>17</v>
      </c>
      <c r="I17" s="126" t="s">
        <v>18</v>
      </c>
      <c r="J17" s="30" t="s">
        <v>19</v>
      </c>
      <c r="K17" s="8"/>
      <c r="L17" s="8"/>
      <c r="M17" s="31">
        <f>+G17</f>
        <v>44743</v>
      </c>
      <c r="N17" s="127" t="s">
        <v>17</v>
      </c>
      <c r="O17" s="127" t="s">
        <v>18</v>
      </c>
    </row>
    <row r="18" spans="3:22" s="3" customFormat="1" hidden="1" x14ac:dyDescent="0.45">
      <c r="C18" s="32" t="s">
        <v>20</v>
      </c>
      <c r="D18" s="136" t="s">
        <v>21</v>
      </c>
      <c r="E18" s="136"/>
      <c r="F18" s="33" t="s">
        <v>22</v>
      </c>
      <c r="G18" s="126" t="s">
        <v>23</v>
      </c>
      <c r="H18" s="126" t="s">
        <v>24</v>
      </c>
      <c r="I18" s="126" t="s">
        <v>24</v>
      </c>
      <c r="J18" s="137" t="s">
        <v>21</v>
      </c>
      <c r="K18" s="137"/>
      <c r="L18" s="8" t="s">
        <v>22</v>
      </c>
      <c r="M18" s="127" t="s">
        <v>23</v>
      </c>
      <c r="N18" s="127" t="s">
        <v>24</v>
      </c>
      <c r="O18" s="127" t="s">
        <v>24</v>
      </c>
    </row>
    <row r="19" spans="3:22" s="3" customFormat="1" hidden="1" x14ac:dyDescent="0.45">
      <c r="C19" s="32">
        <v>1</v>
      </c>
      <c r="D19" s="34">
        <v>0</v>
      </c>
      <c r="E19" s="34">
        <v>21</v>
      </c>
      <c r="F19" s="34">
        <f>E19-D19</f>
        <v>21</v>
      </c>
      <c r="G19" s="35">
        <v>4.7300000000000004</v>
      </c>
      <c r="H19" s="35">
        <f>G19*F19</f>
        <v>99.330000000000013</v>
      </c>
      <c r="I19" s="35">
        <f>H19</f>
        <v>99.330000000000013</v>
      </c>
      <c r="J19" s="36">
        <v>0</v>
      </c>
      <c r="K19" s="36">
        <v>26</v>
      </c>
      <c r="L19" s="36">
        <f>K19-J19</f>
        <v>26</v>
      </c>
      <c r="M19" s="37">
        <f>Proposed_T1</f>
        <v>4.7300000000000004</v>
      </c>
      <c r="N19" s="37">
        <f>M19*L19</f>
        <v>122.98000000000002</v>
      </c>
      <c r="O19" s="37">
        <f>N19</f>
        <v>122.98000000000002</v>
      </c>
      <c r="P19" s="38"/>
    </row>
    <row r="20" spans="3:22" s="3" customFormat="1" hidden="1" x14ac:dyDescent="0.45">
      <c r="C20" s="32">
        <v>2</v>
      </c>
      <c r="D20" s="34">
        <v>22</v>
      </c>
      <c r="E20" s="34">
        <v>48</v>
      </c>
      <c r="F20" s="34">
        <f>E20-D20+1</f>
        <v>27</v>
      </c>
      <c r="G20" s="35">
        <v>8.19</v>
      </c>
      <c r="H20" s="35">
        <f>G20*F20</f>
        <v>221.13</v>
      </c>
      <c r="I20" s="35">
        <f>H20+I19</f>
        <v>320.46000000000004</v>
      </c>
      <c r="J20" s="36">
        <v>27</v>
      </c>
      <c r="K20" s="36">
        <v>59</v>
      </c>
      <c r="L20" s="36">
        <f>K20-J20+1</f>
        <v>33</v>
      </c>
      <c r="M20" s="37">
        <f>Proposed_T2</f>
        <v>8.19</v>
      </c>
      <c r="N20" s="37">
        <f>M20*L20</f>
        <v>270.27</v>
      </c>
      <c r="O20" s="37">
        <f>N20+O19</f>
        <v>393.25</v>
      </c>
      <c r="P20" s="38"/>
    </row>
    <row r="21" spans="3:22" s="3" customFormat="1" hidden="1" x14ac:dyDescent="0.45">
      <c r="C21" s="32">
        <v>3</v>
      </c>
      <c r="D21" s="34">
        <v>49</v>
      </c>
      <c r="E21" s="34">
        <v>80</v>
      </c>
      <c r="F21" s="34">
        <f>E21-D21+1</f>
        <v>32</v>
      </c>
      <c r="G21" s="35">
        <v>13.78</v>
      </c>
      <c r="H21" s="35">
        <f>G21*F21</f>
        <v>440.96</v>
      </c>
      <c r="I21" s="35">
        <f>H21+I20</f>
        <v>761.42000000000007</v>
      </c>
      <c r="J21" s="36">
        <v>60</v>
      </c>
      <c r="K21" s="36">
        <v>99</v>
      </c>
      <c r="L21" s="36">
        <f>K21-J21+1</f>
        <v>40</v>
      </c>
      <c r="M21" s="37">
        <f>Proposed_T3</f>
        <v>13.78</v>
      </c>
      <c r="N21" s="37">
        <f>M21*L21</f>
        <v>551.19999999999993</v>
      </c>
      <c r="O21" s="37">
        <f>N21+O20</f>
        <v>944.44999999999993</v>
      </c>
      <c r="P21" s="38"/>
    </row>
    <row r="22" spans="3:22" s="3" customFormat="1" hidden="1" x14ac:dyDescent="0.45">
      <c r="C22" s="32">
        <v>4</v>
      </c>
      <c r="D22" s="34">
        <v>81</v>
      </c>
      <c r="E22" s="34">
        <v>999999</v>
      </c>
      <c r="F22" s="34">
        <f>SUM(F19:F21)</f>
        <v>80</v>
      </c>
      <c r="G22" s="35">
        <v>22.15</v>
      </c>
      <c r="H22" s="35"/>
      <c r="I22" s="35"/>
      <c r="J22" s="36">
        <v>100</v>
      </c>
      <c r="K22" s="36">
        <v>9999999</v>
      </c>
      <c r="L22" s="36">
        <f>SUM(L19:L21)</f>
        <v>99</v>
      </c>
      <c r="M22" s="37">
        <f>Proposed_T4</f>
        <v>22.15</v>
      </c>
      <c r="N22" s="37"/>
      <c r="O22" s="37"/>
    </row>
    <row r="23" spans="3:22" s="3" customFormat="1" hidden="1" x14ac:dyDescent="0.45">
      <c r="D23" s="39"/>
      <c r="E23" s="39"/>
      <c r="F23" s="39"/>
      <c r="G23" s="4"/>
      <c r="H23" s="4"/>
      <c r="I23" s="4"/>
      <c r="J23" s="4"/>
      <c r="K23" s="4"/>
      <c r="L23" s="4"/>
      <c r="P23" s="4"/>
      <c r="Q23" s="4"/>
      <c r="R23" s="4"/>
      <c r="S23" s="4"/>
      <c r="T23" s="4"/>
      <c r="U23" s="4"/>
    </row>
    <row r="24" spans="3:22" s="3" customFormat="1" ht="15.75" hidden="1" x14ac:dyDescent="0.5">
      <c r="C24" s="40"/>
      <c r="D24" s="40"/>
      <c r="E24" s="41"/>
      <c r="F24" s="41"/>
      <c r="G24" s="41" t="s">
        <v>25</v>
      </c>
      <c r="H24" s="128" t="s">
        <v>17</v>
      </c>
      <c r="I24" s="128" t="s">
        <v>18</v>
      </c>
      <c r="J24" s="42" t="s">
        <v>26</v>
      </c>
      <c r="K24" s="43" t="s">
        <v>17</v>
      </c>
      <c r="L24" s="43" t="s">
        <v>18</v>
      </c>
      <c r="M24" s="41" t="s">
        <v>27</v>
      </c>
      <c r="N24" s="128" t="s">
        <v>17</v>
      </c>
      <c r="O24" s="128" t="s">
        <v>18</v>
      </c>
      <c r="P24" s="42" t="s">
        <v>28</v>
      </c>
      <c r="Q24" s="43" t="s">
        <v>17</v>
      </c>
      <c r="R24" s="43" t="s">
        <v>18</v>
      </c>
      <c r="S24" s="44"/>
      <c r="T24" s="45"/>
      <c r="U24" s="45"/>
    </row>
    <row r="25" spans="3:22" s="3" customFormat="1" hidden="1" x14ac:dyDescent="0.45">
      <c r="C25" s="46" t="s">
        <v>20</v>
      </c>
      <c r="D25" s="138" t="s">
        <v>21</v>
      </c>
      <c r="E25" s="138"/>
      <c r="F25" s="47" t="s">
        <v>22</v>
      </c>
      <c r="G25" s="128" t="s">
        <v>23</v>
      </c>
      <c r="H25" s="128" t="s">
        <v>24</v>
      </c>
      <c r="I25" s="128" t="s">
        <v>24</v>
      </c>
      <c r="J25" s="43" t="s">
        <v>23</v>
      </c>
      <c r="K25" s="43" t="s">
        <v>24</v>
      </c>
      <c r="L25" s="43" t="s">
        <v>24</v>
      </c>
      <c r="M25" s="128" t="s">
        <v>23</v>
      </c>
      <c r="N25" s="128" t="s">
        <v>24</v>
      </c>
      <c r="O25" s="128" t="s">
        <v>24</v>
      </c>
      <c r="P25" s="43" t="s">
        <v>23</v>
      </c>
      <c r="Q25" s="43" t="s">
        <v>24</v>
      </c>
      <c r="R25" s="43" t="s">
        <v>24</v>
      </c>
      <c r="S25" s="45"/>
      <c r="T25" s="45"/>
      <c r="U25" s="45"/>
    </row>
    <row r="26" spans="3:22" s="3" customFormat="1" hidden="1" x14ac:dyDescent="0.45">
      <c r="C26" s="46">
        <v>1</v>
      </c>
      <c r="D26" s="48">
        <v>0</v>
      </c>
      <c r="E26" s="48">
        <v>15</v>
      </c>
      <c r="F26" s="48">
        <f>E26-D26</f>
        <v>15</v>
      </c>
      <c r="G26" s="49">
        <v>7.67</v>
      </c>
      <c r="H26" s="49">
        <f>$F$26*G26</f>
        <v>115.05</v>
      </c>
      <c r="I26" s="49">
        <f>H26</f>
        <v>115.05</v>
      </c>
      <c r="J26" s="50">
        <v>9.16</v>
      </c>
      <c r="K26" s="50">
        <f>$F$26*J26</f>
        <v>137.4</v>
      </c>
      <c r="L26" s="50">
        <f>K26</f>
        <v>137.4</v>
      </c>
      <c r="M26" s="49">
        <v>10.24</v>
      </c>
      <c r="N26" s="49">
        <f>$F$26*M26</f>
        <v>153.6</v>
      </c>
      <c r="O26" s="49">
        <f>N26</f>
        <v>153.6</v>
      </c>
      <c r="P26" s="50">
        <v>10.86</v>
      </c>
      <c r="Q26" s="50">
        <f>$F$26*P26</f>
        <v>162.89999999999998</v>
      </c>
      <c r="R26" s="50">
        <f>Q26</f>
        <v>162.89999999999998</v>
      </c>
      <c r="S26" s="51"/>
      <c r="T26" s="51"/>
      <c r="U26" s="51"/>
      <c r="V26" s="38"/>
    </row>
    <row r="27" spans="3:22" s="3" customFormat="1" hidden="1" x14ac:dyDescent="0.45">
      <c r="C27" s="46">
        <v>2</v>
      </c>
      <c r="D27" s="48">
        <v>16</v>
      </c>
      <c r="E27" s="48">
        <v>25</v>
      </c>
      <c r="F27" s="48">
        <f>E27-D27+1</f>
        <v>10</v>
      </c>
      <c r="G27" s="49">
        <v>10.02</v>
      </c>
      <c r="H27" s="49">
        <f>$F$27*G27</f>
        <v>100.19999999999999</v>
      </c>
      <c r="I27" s="49">
        <f>H27+I26</f>
        <v>215.25</v>
      </c>
      <c r="J27" s="50">
        <v>11.96</v>
      </c>
      <c r="K27" s="50">
        <f>$F$27*J27</f>
        <v>119.60000000000001</v>
      </c>
      <c r="L27" s="50">
        <f>K27+L26</f>
        <v>257</v>
      </c>
      <c r="M27" s="49">
        <v>13.38</v>
      </c>
      <c r="N27" s="49">
        <f>$F$27*M27</f>
        <v>133.80000000000001</v>
      </c>
      <c r="O27" s="49">
        <f>N27+O26</f>
        <v>287.39999999999998</v>
      </c>
      <c r="P27" s="50">
        <v>14.19</v>
      </c>
      <c r="Q27" s="50">
        <f>$F$27*P27</f>
        <v>141.9</v>
      </c>
      <c r="R27" s="50">
        <f>Q27+R26</f>
        <v>304.79999999999995</v>
      </c>
      <c r="S27" s="51"/>
      <c r="T27" s="51"/>
      <c r="U27" s="51"/>
      <c r="V27" s="38"/>
    </row>
    <row r="28" spans="3:22" s="3" customFormat="1" hidden="1" x14ac:dyDescent="0.45">
      <c r="C28" s="46">
        <v>3</v>
      </c>
      <c r="D28" s="48">
        <v>26</v>
      </c>
      <c r="E28" s="48">
        <v>80</v>
      </c>
      <c r="F28" s="48">
        <f>E28-D28+1</f>
        <v>55</v>
      </c>
      <c r="G28" s="49">
        <v>16.190000000000001</v>
      </c>
      <c r="H28" s="49">
        <f>$F$28*G28</f>
        <v>890.45</v>
      </c>
      <c r="I28" s="49">
        <f>H28+I27</f>
        <v>1105.7</v>
      </c>
      <c r="J28" s="50">
        <v>19.329999999999998</v>
      </c>
      <c r="K28" s="50">
        <f>$F$28*J28</f>
        <v>1063.1499999999999</v>
      </c>
      <c r="L28" s="50">
        <f>K28+L27</f>
        <v>1320.1499999999999</v>
      </c>
      <c r="M28" s="49">
        <v>21.62</v>
      </c>
      <c r="N28" s="49">
        <f>$F$28*M28</f>
        <v>1189.1000000000001</v>
      </c>
      <c r="O28" s="49">
        <f>N28+O27</f>
        <v>1476.5</v>
      </c>
      <c r="P28" s="50">
        <v>22.92</v>
      </c>
      <c r="Q28" s="50">
        <f>$F$28*P28</f>
        <v>1260.6000000000001</v>
      </c>
      <c r="R28" s="50">
        <f>Q28+R27</f>
        <v>1565.4</v>
      </c>
      <c r="S28" s="51"/>
      <c r="T28" s="51"/>
      <c r="U28" s="51"/>
      <c r="V28" s="38"/>
    </row>
    <row r="29" spans="3:22" s="3" customFormat="1" hidden="1" x14ac:dyDescent="0.45">
      <c r="C29" s="46">
        <v>4</v>
      </c>
      <c r="D29" s="48">
        <v>81</v>
      </c>
      <c r="E29" s="48">
        <v>999999</v>
      </c>
      <c r="F29" s="48">
        <f>SUM(F26:F28)</f>
        <v>80</v>
      </c>
      <c r="G29" s="49">
        <v>24.77</v>
      </c>
      <c r="H29" s="49"/>
      <c r="I29" s="49"/>
      <c r="J29" s="50">
        <v>29.58</v>
      </c>
      <c r="K29" s="50"/>
      <c r="L29" s="50"/>
      <c r="M29" s="49">
        <v>33.08</v>
      </c>
      <c r="N29" s="49"/>
      <c r="O29" s="49"/>
      <c r="P29" s="50">
        <v>35.07</v>
      </c>
      <c r="Q29" s="50"/>
      <c r="R29" s="50"/>
      <c r="S29" s="51"/>
      <c r="T29" s="51"/>
      <c r="U29" s="51"/>
    </row>
    <row r="30" spans="3:22" s="3" customFormat="1" ht="22.15" customHeight="1" x14ac:dyDescent="0.45">
      <c r="G30" s="4"/>
      <c r="H30" s="4"/>
      <c r="I30" s="4"/>
      <c r="J30" s="4"/>
      <c r="K30" s="4"/>
      <c r="L30" s="4"/>
      <c r="P30" s="4"/>
      <c r="Q30" s="4"/>
      <c r="R30" s="4"/>
      <c r="S30" s="4"/>
      <c r="T30" s="4"/>
      <c r="U30" s="4"/>
    </row>
    <row r="31" spans="3:22" s="3" customFormat="1" ht="22.9" customHeight="1" x14ac:dyDescent="0.45">
      <c r="G31" s="4"/>
      <c r="H31" s="4"/>
      <c r="I31" s="4"/>
      <c r="J31" s="4"/>
      <c r="K31" s="4"/>
      <c r="L31" s="4"/>
      <c r="P31" s="4"/>
      <c r="Q31" s="4"/>
      <c r="R31" s="4"/>
      <c r="S31" s="4"/>
      <c r="T31" s="4"/>
      <c r="U31" s="4"/>
    </row>
    <row r="32" spans="3:22" s="3" customFormat="1" ht="30.75" x14ac:dyDescent="0.45">
      <c r="C32" s="139" t="s">
        <v>29</v>
      </c>
      <c r="D32" s="139"/>
      <c r="E32" s="139"/>
      <c r="F32" s="139"/>
      <c r="G32" s="139"/>
      <c r="H32" s="139"/>
      <c r="I32" s="139"/>
      <c r="J32" s="4"/>
      <c r="K32" s="4"/>
      <c r="L32" s="4"/>
      <c r="U32" s="4"/>
    </row>
    <row r="33" spans="1:35" s="3" customFormat="1" x14ac:dyDescent="0.45">
      <c r="G33" s="4"/>
      <c r="H33" s="4"/>
      <c r="I33" s="4"/>
      <c r="J33" s="4"/>
      <c r="K33" s="4"/>
      <c r="L33" s="4"/>
      <c r="U33" s="4"/>
    </row>
    <row r="34" spans="1:35" s="3" customFormat="1" ht="27.75" customHeight="1" x14ac:dyDescent="0.65">
      <c r="D34" s="124" t="s">
        <v>30</v>
      </c>
      <c r="E34" s="2" t="s">
        <v>31</v>
      </c>
      <c r="AH34" s="52"/>
      <c r="AI34" s="52"/>
    </row>
    <row r="35" spans="1:35" s="3" customFormat="1" ht="3" customHeight="1" x14ac:dyDescent="0.55000000000000004">
      <c r="B35" s="6"/>
      <c r="C35" s="7"/>
    </row>
    <row r="36" spans="1:35" s="3" customFormat="1" ht="21" x14ac:dyDescent="0.55000000000000004">
      <c r="B36" s="53"/>
      <c r="C36" s="5"/>
      <c r="D36" s="54"/>
      <c r="E36" s="55" t="s">
        <v>9</v>
      </c>
      <c r="F36" s="5"/>
      <c r="G36" s="5"/>
      <c r="AH36" s="52"/>
      <c r="AI36" s="52"/>
    </row>
    <row r="37" spans="1:35" s="3" customFormat="1" ht="33.75" customHeight="1" x14ac:dyDescent="0.45">
      <c r="A37" s="120" t="s">
        <v>32</v>
      </c>
      <c r="D37" s="119" t="s">
        <v>33</v>
      </c>
      <c r="E37" s="117" t="s">
        <v>11</v>
      </c>
      <c r="F37" s="57" t="s">
        <v>34</v>
      </c>
      <c r="G37" s="56"/>
      <c r="H37" s="58"/>
      <c r="I37" s="58"/>
      <c r="AH37" s="52"/>
      <c r="AI37" s="52"/>
    </row>
    <row r="38" spans="1:35" s="3" customFormat="1" ht="3" customHeight="1" x14ac:dyDescent="0.45">
      <c r="A38" s="53"/>
      <c r="C38" s="59"/>
      <c r="D38" s="59"/>
      <c r="E38" s="1"/>
      <c r="F38" s="5"/>
      <c r="G38" s="5"/>
      <c r="AH38" s="52"/>
      <c r="AI38" s="52"/>
    </row>
    <row r="39" spans="1:35" s="3" customFormat="1" ht="33.75" customHeight="1" x14ac:dyDescent="0.45">
      <c r="A39" s="121" t="s">
        <v>35</v>
      </c>
      <c r="D39" s="119" t="s">
        <v>36</v>
      </c>
      <c r="E39" s="118">
        <v>11</v>
      </c>
      <c r="F39" s="61">
        <f>E39</f>
        <v>11</v>
      </c>
      <c r="H39" s="62">
        <f>E39</f>
        <v>11</v>
      </c>
      <c r="I39" s="63"/>
      <c r="J39" s="64"/>
      <c r="M39" s="65"/>
    </row>
    <row r="40" spans="1:35" s="3" customFormat="1" ht="12.75" customHeight="1" x14ac:dyDescent="0.45">
      <c r="A40" s="66"/>
      <c r="B40" s="66"/>
      <c r="D40" s="60"/>
      <c r="E40" s="125" t="s">
        <v>37</v>
      </c>
      <c r="F40" s="69"/>
      <c r="H40" s="70"/>
      <c r="I40" s="71"/>
      <c r="J40" s="64"/>
      <c r="M40" s="65"/>
    </row>
    <row r="41" spans="1:35" s="3" customFormat="1" ht="3" customHeight="1" x14ac:dyDescent="0.45">
      <c r="A41" s="66"/>
      <c r="B41" s="66"/>
      <c r="C41" s="67"/>
      <c r="D41" s="60"/>
      <c r="E41" s="68"/>
      <c r="F41" s="69"/>
      <c r="H41" s="70"/>
      <c r="I41" s="71"/>
      <c r="J41" s="64"/>
      <c r="M41" s="65"/>
    </row>
    <row r="42" spans="1:35" s="3" customFormat="1" ht="30" customHeight="1" x14ac:dyDescent="0.45">
      <c r="C42" s="133" t="s">
        <v>38</v>
      </c>
      <c r="D42" s="133"/>
      <c r="E42" s="122">
        <f>F39*748</f>
        <v>8228</v>
      </c>
      <c r="F42" s="72"/>
      <c r="G42" s="72"/>
      <c r="H42" s="72"/>
      <c r="I42" s="72"/>
      <c r="J42" s="72"/>
      <c r="K42" s="65"/>
    </row>
    <row r="43" spans="1:35" s="3" customFormat="1" ht="30" customHeight="1" x14ac:dyDescent="0.45">
      <c r="B43" s="73"/>
      <c r="C43" s="134" t="s">
        <v>39</v>
      </c>
      <c r="D43" s="134"/>
      <c r="E43" s="123">
        <f>ROUND(E42/61,0)</f>
        <v>135</v>
      </c>
      <c r="F43" s="74"/>
      <c r="G43" s="74"/>
      <c r="H43" s="74"/>
      <c r="I43" s="74"/>
      <c r="J43" s="74"/>
      <c r="K43" s="65"/>
    </row>
    <row r="44" spans="1:35" ht="33.75" customHeight="1" x14ac:dyDescent="0.45">
      <c r="A44" s="120" t="s">
        <v>40</v>
      </c>
      <c r="D44" s="119" t="s">
        <v>41</v>
      </c>
      <c r="E44" s="1"/>
      <c r="F44" s="130" t="s">
        <v>42</v>
      </c>
      <c r="G44" s="5"/>
      <c r="H44" s="3"/>
      <c r="I44" s="3"/>
      <c r="J44" s="3"/>
    </row>
    <row r="45" spans="1:35" ht="21" x14ac:dyDescent="0.45">
      <c r="A45" s="3"/>
      <c r="B45" s="53"/>
      <c r="C45" s="53"/>
      <c r="D45" s="75" t="s">
        <v>43</v>
      </c>
      <c r="E45" s="117" t="s">
        <v>6</v>
      </c>
      <c r="F45" s="5"/>
      <c r="G45" s="5"/>
      <c r="H45" s="3"/>
      <c r="I45" s="3"/>
      <c r="J45" s="3"/>
    </row>
    <row r="46" spans="1:35" ht="21" x14ac:dyDescent="0.45">
      <c r="A46" s="3"/>
      <c r="B46" s="53"/>
      <c r="C46" s="53"/>
      <c r="D46" s="76" t="s">
        <v>44</v>
      </c>
      <c r="E46" s="77"/>
      <c r="F46" s="5"/>
      <c r="G46" s="5"/>
      <c r="H46" s="3"/>
      <c r="I46" s="3"/>
      <c r="J46" s="3"/>
    </row>
    <row r="47" spans="1:35" ht="21" x14ac:dyDescent="0.45">
      <c r="A47" s="3"/>
      <c r="B47" s="53"/>
      <c r="C47" s="53"/>
      <c r="D47" s="75" t="s">
        <v>45</v>
      </c>
      <c r="E47" s="117" t="s">
        <v>6</v>
      </c>
      <c r="F47" s="5"/>
      <c r="G47" s="5"/>
      <c r="H47" s="3"/>
      <c r="I47" s="3"/>
      <c r="J47" s="3"/>
    </row>
    <row r="48" spans="1:35" s="3" customFormat="1" ht="3" customHeight="1" x14ac:dyDescent="0.45">
      <c r="A48" s="66"/>
      <c r="B48" s="66"/>
      <c r="C48" s="60"/>
      <c r="D48" s="60"/>
      <c r="E48" s="60"/>
      <c r="F48" s="70"/>
      <c r="G48" s="78"/>
      <c r="H48" s="78"/>
      <c r="I48" s="79"/>
      <c r="J48" s="64"/>
      <c r="M48" s="65"/>
    </row>
    <row r="49" spans="1:35" s="3" customFormat="1" ht="18" x14ac:dyDescent="0.45">
      <c r="B49" s="80"/>
      <c r="C49" s="81" t="s">
        <v>46</v>
      </c>
      <c r="D49" s="82" t="s">
        <v>47</v>
      </c>
      <c r="E49" s="83" t="s">
        <v>48</v>
      </c>
      <c r="F49" s="83" t="s">
        <v>49</v>
      </c>
      <c r="G49" s="83" t="s">
        <v>50</v>
      </c>
      <c r="H49" s="83" t="s">
        <v>51</v>
      </c>
    </row>
    <row r="50" spans="1:35" s="3" customFormat="1" ht="21.6" customHeight="1" x14ac:dyDescent="0.45">
      <c r="B50" s="84"/>
      <c r="C50" s="85" t="s">
        <v>52</v>
      </c>
      <c r="D50" s="86" t="s">
        <v>53</v>
      </c>
      <c r="E50" s="87" t="s">
        <v>54</v>
      </c>
      <c r="F50" s="87" t="s">
        <v>55</v>
      </c>
      <c r="G50" s="87" t="s">
        <v>56</v>
      </c>
      <c r="H50" s="87" t="s">
        <v>57</v>
      </c>
    </row>
    <row r="51" spans="1:35" s="3" customFormat="1" ht="23.25" x14ac:dyDescent="0.45">
      <c r="B51" s="88" t="s">
        <v>58</v>
      </c>
      <c r="C51" s="89"/>
      <c r="D51" s="90"/>
      <c r="E51" s="91"/>
      <c r="F51" s="91"/>
      <c r="G51" s="91"/>
      <c r="H51" s="91"/>
      <c r="K51" s="65"/>
    </row>
    <row r="52" spans="1:35" ht="19.5" customHeight="1" x14ac:dyDescent="0.45">
      <c r="A52" s="3"/>
      <c r="B52" s="92" t="s">
        <v>59</v>
      </c>
      <c r="C52" s="93">
        <f>IF($F$39&gt;Winter3_hi,(I21+(($F$39-Winter3_hi))*Proposed_T4),IF(AND($F$39&lt;Winter4_low,$F$39&gt;Winter2_hi),(I20+(($F$39-Winter2_hi)*Proposed_T3)),IF(AND($F$39&lt;Winter3_low,$F$39&gt;Winter1_hi),(I19+(($F$39-Winter1_hi)*Proposed_T2)),IF(AND($F$39&lt;Winter2_low,$F$39&gt;Winter1_low),$F$39*Proposed_T1,0))))</f>
        <v>52.03</v>
      </c>
      <c r="D52" s="94">
        <f>IF($E$39&gt;Summer3_hi,(O21+(($E$39-Summer3_hi))*Proposed_T4),IF(AND($E$39&lt;Summer4_low,$E$39&gt;Summer2_hi),(O20+(($E$39-Summer2_hi)*Proposed_T3)),IF(AND($E$39&lt;Summer3_low,$E$39&gt;Summer1_hi),(O19+(($E$39-Summer1_hi)*Proposed_T2)),IF(AND($E$39&lt;Summer2_low,$E$39&gt;Summer1_low),$E$39*Proposed_T1,0))))</f>
        <v>52.03</v>
      </c>
      <c r="E52" s="95">
        <f>IF($E$39&gt;$E$28,(I28+(($E$39-$E$28))*G29),IF(AND($E$39&lt;$D$29,$E$39&gt;$E$27),(I27+(($E$39-$E$27)*G28)),IF(AND($E$39&lt;$D$28,$E$39&gt;$E$26),(I26+(($E$39-$E$26)*G27)),IF(AND($E$39&lt;$D$27,$E$39&gt;$D$26),$E$39*G26,0))))</f>
        <v>84.37</v>
      </c>
      <c r="F52" s="95">
        <f>IF($E$39&gt;$E$28,(L28+(($E$39-$E$28))*J29),IF(AND($E$39&lt;$D$29,$E$39&gt;$E$27),(L27+(($E$39-$E$27)*J28)),IF(AND($E$39&lt;$D$28,$E$39&gt;$E$26),(L26+(($E$39-$E$26)*J27)),IF(AND($E$39&lt;$D$27,$E$39&gt;$D$26),$E$39*J26,0))))</f>
        <v>100.76</v>
      </c>
      <c r="G52" s="95">
        <f>IF($E$39&gt;$E$28,(O28+(($E$39-$E$28))*M29),IF(AND($E$39&lt;$D$29,$E$39&gt;$E$27),(O27+(($E$39-$E$27)*M28)),IF(AND($E$39&lt;$D$28,$E$39&gt;$E$26),(O26+(($E$39-$E$26)*M27)),IF(AND($E$39&lt;$D$27,$E$39&gt;$D$26),$E$39*M26,0))))</f>
        <v>112.64</v>
      </c>
      <c r="H52" s="95">
        <f>IF($E$39&gt;$E$28,(R28+(($E$39-$E$28))*P29),IF(AND($E$39&lt;$D$29,$E$39&gt;$E$27),(R27+(($E$39-$E$27)*P28)),IF(AND($E$39&lt;$D$28,$E$39&gt;$E$26),(R26+(($E$39-$E$26)*P27)),IF(AND($E$39&lt;$D$27,$E$39&gt;$D$26),$E$39*P26,0))))</f>
        <v>119.46</v>
      </c>
      <c r="I52" s="3"/>
      <c r="J52" s="3"/>
    </row>
    <row r="53" spans="1:35" s="3" customFormat="1" ht="19.5" customHeight="1" x14ac:dyDescent="0.45">
      <c r="B53" s="92" t="s">
        <v>60</v>
      </c>
      <c r="C53" s="93">
        <f>IF(OR(E45="yes",E47="yes"),0,VLOOKUP($E$37,C6:J15,8,FALSE))</f>
        <v>11.59</v>
      </c>
      <c r="D53" s="96">
        <f>C53</f>
        <v>11.59</v>
      </c>
      <c r="E53" s="95">
        <f>IF(OR($E$45="yes",$E$47="yes"),0,0.61*$E$39)</f>
        <v>6.71</v>
      </c>
      <c r="F53" s="95">
        <f>IF(OR($E$45="yes",$E$47="yes"),0,0.62*$E$39)</f>
        <v>6.82</v>
      </c>
      <c r="G53" s="95">
        <f>IF(OR($E$45="yes",$E$47="yes"),0,0.64*$E$39)</f>
        <v>7.04</v>
      </c>
      <c r="H53" s="95">
        <f>IF(OR($E$45="yes",$E$47="yes"),0,0.66*$E$39)</f>
        <v>7.2600000000000007</v>
      </c>
    </row>
    <row r="54" spans="1:35" s="3" customFormat="1" ht="19.5" customHeight="1" x14ac:dyDescent="0.45">
      <c r="B54" s="88" t="s">
        <v>61</v>
      </c>
      <c r="C54" s="97"/>
      <c r="D54" s="98"/>
      <c r="E54" s="99"/>
      <c r="F54" s="95"/>
      <c r="G54" s="95"/>
      <c r="H54" s="95"/>
    </row>
    <row r="55" spans="1:35" s="3" customFormat="1" ht="19.5" customHeight="1" x14ac:dyDescent="0.45">
      <c r="B55" s="92" t="s">
        <v>62</v>
      </c>
      <c r="C55" s="100">
        <f>IF(OR(E45="yes",E47="yes"),0,VLOOKUP($E$37,$C$6:$I$15,2,FALSE))</f>
        <v>44.62</v>
      </c>
      <c r="D55" s="96">
        <f>C55</f>
        <v>44.62</v>
      </c>
      <c r="E55" s="101">
        <f>IF(OR($E$45="yes",$E$47="yes"),0,VLOOKUP($E$37,$C$6:$H$15,3,FALSE))</f>
        <v>48.04</v>
      </c>
      <c r="F55" s="101">
        <f>IF(OR($E$45="yes",$E$47="yes"),0,VLOOKUP($E$37,$C$6:$H$15,4,FALSE))</f>
        <v>50.44</v>
      </c>
      <c r="G55" s="101">
        <f>IF(OR($E$45="yes",$E$47="yes"),0,VLOOKUP($E$37,$C$6:$H$15,5,FALSE))</f>
        <v>52.96</v>
      </c>
      <c r="H55" s="101">
        <f>IF(OR($E$45="yes",$E$47="yes"),0,VLOOKUP($E$37,$C$6:$H$15,6,FALSE))</f>
        <v>55.61</v>
      </c>
      <c r="K55" s="65"/>
    </row>
    <row r="56" spans="1:35" ht="19.5" customHeight="1" x14ac:dyDescent="0.45">
      <c r="A56" s="3"/>
      <c r="B56" s="92" t="s">
        <v>63</v>
      </c>
      <c r="C56" s="93">
        <f>IF(E45="yes",0,VLOOKUP($E$37,C6:AA15,10,FALSE))</f>
        <v>30.42</v>
      </c>
      <c r="D56" s="96">
        <f>C56</f>
        <v>30.42</v>
      </c>
      <c r="E56" s="95">
        <f>IF($E$45="yes",0,VLOOKUP($E$37,$C$6:$P$15,11,FALSE))</f>
        <v>31.5</v>
      </c>
      <c r="F56" s="95">
        <f>IF($E$45="yes",0,VLOOKUP($E$37,$C$6:$P$15,12,FALSE))</f>
        <v>33.08</v>
      </c>
      <c r="G56" s="95">
        <f>IF($E$45="yes",0,VLOOKUP($E$37,$C$6:$P$15,13,FALSE))</f>
        <v>34.729999999999997</v>
      </c>
      <c r="H56" s="95">
        <f>IF($E$45="yes",0,VLOOKUP($E$37,$C$6:$P$15,14,FALSE))</f>
        <v>36.47</v>
      </c>
      <c r="I56" s="3"/>
      <c r="J56" s="3"/>
    </row>
    <row r="57" spans="1:35" ht="24.95" customHeight="1" x14ac:dyDescent="0.45">
      <c r="A57" s="3"/>
      <c r="B57" s="102" t="s">
        <v>64</v>
      </c>
      <c r="C57" s="89">
        <f>SUM(C52:C56)</f>
        <v>138.66000000000003</v>
      </c>
      <c r="D57" s="90">
        <f t="shared" ref="D57:H57" si="0">SUM(D52:D56)</f>
        <v>138.66000000000003</v>
      </c>
      <c r="E57" s="103">
        <f t="shared" si="0"/>
        <v>170.62</v>
      </c>
      <c r="F57" s="103">
        <f t="shared" si="0"/>
        <v>191.10000000000002</v>
      </c>
      <c r="G57" s="103">
        <f t="shared" si="0"/>
        <v>207.37</v>
      </c>
      <c r="H57" s="103">
        <f t="shared" si="0"/>
        <v>218.79999999999998</v>
      </c>
      <c r="I57" s="3"/>
      <c r="J57" s="3"/>
    </row>
    <row r="58" spans="1:35" s="109" customFormat="1" ht="15.75" customHeight="1" x14ac:dyDescent="0.45">
      <c r="A58" s="105"/>
      <c r="B58" s="105"/>
      <c r="C58" s="106"/>
      <c r="D58" s="107"/>
      <c r="E58" s="107"/>
      <c r="F58" s="107"/>
      <c r="G58" s="108"/>
      <c r="H58" s="108"/>
      <c r="I58" s="108"/>
      <c r="J58" s="108"/>
      <c r="K58" s="65"/>
      <c r="L58" s="65"/>
      <c r="M58" s="6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</row>
    <row r="59" spans="1:35" x14ac:dyDescent="0.45">
      <c r="A59" s="3"/>
      <c r="B59" s="3"/>
      <c r="C59" s="110"/>
      <c r="D59" s="4"/>
      <c r="E59" s="4"/>
      <c r="F59" s="104"/>
      <c r="G59" s="104"/>
      <c r="H59" s="65"/>
      <c r="I59" s="65"/>
      <c r="J59" s="65"/>
      <c r="K59" s="65"/>
      <c r="L59" s="65"/>
      <c r="M59" s="65"/>
    </row>
    <row r="60" spans="1:35" x14ac:dyDescent="0.45">
      <c r="A60" s="3"/>
      <c r="B60" s="3"/>
      <c r="C60" s="65"/>
      <c r="D60" s="104"/>
      <c r="E60" s="104"/>
      <c r="F60" s="104"/>
      <c r="G60" s="104"/>
      <c r="H60" s="65"/>
      <c r="I60" s="65"/>
      <c r="J60" s="65"/>
      <c r="K60" s="65"/>
      <c r="L60" s="65"/>
      <c r="M60" s="65"/>
    </row>
    <row r="61" spans="1:35" x14ac:dyDescent="0.45">
      <c r="A61" s="111" t="s">
        <v>65</v>
      </c>
      <c r="B61" s="111"/>
      <c r="C61" s="112"/>
      <c r="D61" s="113"/>
      <c r="E61" s="113"/>
      <c r="F61" s="113"/>
      <c r="G61" s="113"/>
      <c r="H61" s="65"/>
      <c r="I61" s="65"/>
      <c r="J61" s="65"/>
      <c r="K61" s="65"/>
      <c r="L61" s="65"/>
    </row>
    <row r="62" spans="1:35" x14ac:dyDescent="0.45">
      <c r="A62" s="111" t="s">
        <v>66</v>
      </c>
      <c r="B62" s="111"/>
      <c r="C62" s="112"/>
      <c r="D62" s="113"/>
      <c r="E62" s="113"/>
      <c r="F62" s="113"/>
      <c r="G62" s="113"/>
      <c r="H62" s="65"/>
      <c r="I62" s="65"/>
      <c r="J62" s="65"/>
      <c r="K62" s="65"/>
      <c r="L62" s="65"/>
    </row>
    <row r="63" spans="1:35" x14ac:dyDescent="0.45">
      <c r="A63" s="111" t="s">
        <v>67</v>
      </c>
      <c r="C63" s="114"/>
      <c r="D63" s="115"/>
      <c r="E63" s="115"/>
      <c r="F63" s="115"/>
      <c r="G63" s="115"/>
      <c r="H63" s="65"/>
      <c r="I63" s="65"/>
      <c r="J63" s="65"/>
      <c r="K63" s="65"/>
      <c r="L63" s="65"/>
    </row>
    <row r="64" spans="1:35" s="3" customFormat="1" x14ac:dyDescent="0.45">
      <c r="AH64" s="52"/>
      <c r="AI64" s="52"/>
    </row>
    <row r="65" spans="5:5" s="3" customFormat="1" x14ac:dyDescent="0.45">
      <c r="E65" s="116"/>
    </row>
    <row r="66" spans="5:5" s="3" customFormat="1" x14ac:dyDescent="0.45">
      <c r="E66" s="116"/>
    </row>
    <row r="67" spans="5:5" s="3" customFormat="1" x14ac:dyDescent="0.45"/>
    <row r="68" spans="5:5" s="3" customFormat="1" x14ac:dyDescent="0.45"/>
    <row r="69" spans="5:5" s="3" customFormat="1" x14ac:dyDescent="0.45"/>
    <row r="70" spans="5:5" s="3" customFormat="1" x14ac:dyDescent="0.45"/>
    <row r="71" spans="5:5" s="3" customFormat="1" x14ac:dyDescent="0.45"/>
    <row r="72" spans="5:5" s="3" customFormat="1" x14ac:dyDescent="0.45"/>
    <row r="73" spans="5:5" s="3" customFormat="1" x14ac:dyDescent="0.45"/>
    <row r="74" spans="5:5" s="3" customFormat="1" x14ac:dyDescent="0.45"/>
    <row r="75" spans="5:5" s="3" customFormat="1" x14ac:dyDescent="0.45"/>
    <row r="76" spans="5:5" s="3" customFormat="1" x14ac:dyDescent="0.45"/>
    <row r="77" spans="5:5" s="3" customFormat="1" x14ac:dyDescent="0.45"/>
    <row r="78" spans="5:5" s="3" customFormat="1" x14ac:dyDescent="0.45"/>
    <row r="79" spans="5:5" s="3" customFormat="1" x14ac:dyDescent="0.45"/>
    <row r="80" spans="5:5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</sheetData>
  <sheetProtection algorithmName="SHA-512" hashValue="YXvCU/COBvRh1H1WSkN7JvTGT+3YWB7nKPVtKIi8A/jLZcuFqVrJK5ocCeGuJGcHICFxBFVFkdwhxmFVSMsbjw==" saltValue="T41DMUStxB41I2LPSY72ag==" spinCount="100000" sheet="1" objects="1" scenarios="1"/>
  <mergeCells count="7">
    <mergeCell ref="C42:D42"/>
    <mergeCell ref="C43:D43"/>
    <mergeCell ref="D17:F17"/>
    <mergeCell ref="D18:E18"/>
    <mergeCell ref="J18:K18"/>
    <mergeCell ref="D25:E25"/>
    <mergeCell ref="C32:I32"/>
  </mergeCells>
  <dataValidations count="2">
    <dataValidation type="list" allowBlank="1" showInputMessage="1" showErrorMessage="1" promptTitle="Meter Size Selection" prompt="Use the drop-down menu to indicate  your meter size" sqref="E37">
      <formula1>$C$6:$C$10</formula1>
    </dataValidation>
    <dataValidation type="list" allowBlank="1" showInputMessage="1" showErrorMessage="1" sqref="E45 E47">
      <formula1>$D$2:$D$3</formula1>
    </dataValidation>
  </dataValidations>
  <hyperlinks>
    <hyperlink ref="F44" r:id="rId1" display="Click here for more information about Marin Water's Discount Programs"/>
  </hyperlinks>
  <pageMargins left="0.7" right="0.7" top="0.75" bottom="0.75" header="0.3" footer="0.3"/>
  <pageSetup scale="6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4"/>
  <sheetViews>
    <sheetView workbookViewId="0">
      <selection activeCell="E5" sqref="E5"/>
    </sheetView>
  </sheetViews>
  <sheetFormatPr defaultRowHeight="14.25" x14ac:dyDescent="0.45"/>
  <cols>
    <col min="2" max="2" width="26.1328125" customWidth="1"/>
  </cols>
  <sheetData>
    <row r="3" spans="1:3" ht="28.5" x14ac:dyDescent="0.85">
      <c r="A3" s="129"/>
      <c r="B3" s="129"/>
      <c r="C3" s="129"/>
    </row>
    <row r="4" spans="1:3" ht="28.5" x14ac:dyDescent="0.85">
      <c r="A4" s="129"/>
      <c r="B4" s="129"/>
      <c r="C4" s="129"/>
    </row>
    <row r="5" spans="1:3" ht="28.5" x14ac:dyDescent="0.85">
      <c r="A5" s="129"/>
      <c r="B5" s="129"/>
      <c r="C5" s="129"/>
    </row>
    <row r="6" spans="1:3" ht="28.5" x14ac:dyDescent="0.85">
      <c r="A6" s="129"/>
      <c r="B6" s="129"/>
      <c r="C6" s="129"/>
    </row>
    <row r="7" spans="1:3" ht="28.5" x14ac:dyDescent="0.85">
      <c r="A7" s="129"/>
      <c r="B7" s="132" t="s">
        <v>11</v>
      </c>
      <c r="C7" s="129"/>
    </row>
    <row r="8" spans="1:3" ht="28.5" x14ac:dyDescent="0.85">
      <c r="A8" s="129"/>
      <c r="B8" s="132" t="s">
        <v>12</v>
      </c>
      <c r="C8" s="129"/>
    </row>
    <row r="9" spans="1:3" ht="28.5" x14ac:dyDescent="0.85">
      <c r="A9" s="129"/>
      <c r="B9" s="132" t="s">
        <v>13</v>
      </c>
      <c r="C9" s="129"/>
    </row>
    <row r="10" spans="1:3" ht="28.5" x14ac:dyDescent="0.85">
      <c r="A10" s="129"/>
      <c r="B10" s="132" t="s">
        <v>14</v>
      </c>
      <c r="C10" s="129"/>
    </row>
    <row r="11" spans="1:3" ht="28.5" x14ac:dyDescent="0.85">
      <c r="A11" s="129"/>
      <c r="B11" s="132" t="s">
        <v>15</v>
      </c>
      <c r="C11" s="129"/>
    </row>
    <row r="12" spans="1:3" ht="28.5" x14ac:dyDescent="0.85">
      <c r="A12" s="129"/>
      <c r="B12" s="132" t="s">
        <v>68</v>
      </c>
      <c r="C12" s="129"/>
    </row>
    <row r="13" spans="1:3" ht="28.5" x14ac:dyDescent="0.85">
      <c r="A13" s="129"/>
      <c r="B13" s="132" t="s">
        <v>69</v>
      </c>
      <c r="C13" s="129"/>
    </row>
    <row r="14" spans="1:3" ht="28.5" x14ac:dyDescent="0.85">
      <c r="A14" s="129"/>
      <c r="B14" s="132" t="s">
        <v>70</v>
      </c>
      <c r="C14" s="129"/>
    </row>
    <row r="15" spans="1:3" ht="28.5" x14ac:dyDescent="0.85">
      <c r="A15" s="129"/>
      <c r="B15" s="132" t="s">
        <v>71</v>
      </c>
      <c r="C15" s="129"/>
    </row>
    <row r="16" spans="1:3" ht="28.5" x14ac:dyDescent="0.85">
      <c r="A16" s="129"/>
      <c r="B16" s="132" t="s">
        <v>72</v>
      </c>
      <c r="C16" s="129"/>
    </row>
    <row r="17" spans="1:3" ht="28.5" x14ac:dyDescent="0.85">
      <c r="A17" s="129"/>
      <c r="B17" s="129"/>
      <c r="C17" s="129"/>
    </row>
    <row r="18" spans="1:3" ht="28.5" x14ac:dyDescent="0.85">
      <c r="A18" s="129"/>
      <c r="B18" s="129"/>
      <c r="C18" s="129"/>
    </row>
    <row r="19" spans="1:3" ht="28.5" x14ac:dyDescent="0.85">
      <c r="A19" s="129"/>
      <c r="B19" s="131" t="s">
        <v>5</v>
      </c>
      <c r="C19" s="129"/>
    </row>
    <row r="20" spans="1:3" ht="28.5" x14ac:dyDescent="0.85">
      <c r="A20" s="129"/>
      <c r="B20" s="131" t="s">
        <v>6</v>
      </c>
      <c r="C20" s="129"/>
    </row>
    <row r="21" spans="1:3" ht="28.5" x14ac:dyDescent="0.85">
      <c r="A21" s="129"/>
      <c r="B21" s="129"/>
      <c r="C21" s="129"/>
    </row>
    <row r="22" spans="1:3" ht="28.5" x14ac:dyDescent="0.85">
      <c r="A22" s="129"/>
      <c r="B22" s="129"/>
      <c r="C22" s="129"/>
    </row>
    <row r="23" spans="1:3" ht="28.5" x14ac:dyDescent="0.85">
      <c r="A23" s="129"/>
      <c r="B23" s="129"/>
      <c r="C23" s="129"/>
    </row>
    <row r="24" spans="1:3" ht="28.5" x14ac:dyDescent="0.85">
      <c r="A24" s="129"/>
      <c r="B24" s="129"/>
      <c r="C24" s="12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3"/>
  <sheetViews>
    <sheetView workbookViewId="0"/>
  </sheetViews>
  <sheetFormatPr defaultRowHeight="14.25" x14ac:dyDescent="0.45"/>
  <sheetData>
    <row r="1" spans="3:5" x14ac:dyDescent="0.45">
      <c r="C1" t="s">
        <v>73</v>
      </c>
      <c r="D1" t="s">
        <v>74</v>
      </c>
      <c r="E1" t="s">
        <v>75</v>
      </c>
    </row>
    <row r="2" spans="3:5" x14ac:dyDescent="0.45">
      <c r="C2" t="s">
        <v>76</v>
      </c>
    </row>
    <row r="3" spans="3:5" x14ac:dyDescent="0.45">
      <c r="C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23</vt:i4>
      </vt:variant>
    </vt:vector>
  </HeadingPairs>
  <TitlesOfParts>
    <vt:vector size="25" baseType="lpstr">
      <vt:lpstr>Jul 1 23 to 26</vt:lpstr>
      <vt:lpstr>Sheet2</vt:lpstr>
      <vt:lpstr>'Jul 1 23 to 26'!Meter_current</vt:lpstr>
      <vt:lpstr>'Jul 1 23 to 26'!Meter_Size</vt:lpstr>
      <vt:lpstr>Meters</vt:lpstr>
      <vt:lpstr>'Jul 1 23 to 26'!Print_Area</vt:lpstr>
      <vt:lpstr>Programs</vt:lpstr>
      <vt:lpstr>'Jul 1 23 to 26'!Proposed_T1</vt:lpstr>
      <vt:lpstr>'Jul 1 23 to 26'!Proposed_T2</vt:lpstr>
      <vt:lpstr>'Jul 1 23 to 26'!Proposed_T3</vt:lpstr>
      <vt:lpstr>'Jul 1 23 to 26'!Proposed_T4</vt:lpstr>
      <vt:lpstr>'Jul 1 23 to 26'!Summer1_hi</vt:lpstr>
      <vt:lpstr>'Jul 1 23 to 26'!Summer1_low</vt:lpstr>
      <vt:lpstr>'Jul 1 23 to 26'!Summer2_hi</vt:lpstr>
      <vt:lpstr>'Jul 1 23 to 26'!Summer2_low</vt:lpstr>
      <vt:lpstr>'Jul 1 23 to 26'!Summer3_hi</vt:lpstr>
      <vt:lpstr>'Jul 1 23 to 26'!Summer3_low</vt:lpstr>
      <vt:lpstr>'Jul 1 23 to 26'!Summer4_low</vt:lpstr>
      <vt:lpstr>'Jul 1 23 to 26'!Winter1_hi</vt:lpstr>
      <vt:lpstr>'Jul 1 23 to 26'!Winter1_low</vt:lpstr>
      <vt:lpstr>'Jul 1 23 to 26'!Winter2_hi</vt:lpstr>
      <vt:lpstr>'Jul 1 23 to 26'!Winter2_low</vt:lpstr>
      <vt:lpstr>'Jul 1 23 to 26'!Winter3_hi</vt:lpstr>
      <vt:lpstr>'Jul 1 23 to 26'!Winter3_low</vt:lpstr>
      <vt:lpstr>'Jul 1 23 to 26'!Winter4_low</vt:lpstr>
    </vt:vector>
  </TitlesOfParts>
  <Manager/>
  <Company>Marin Municipal Water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Oreen Delgado</dc:creator>
  <cp:keywords/>
  <dc:description/>
  <cp:lastModifiedBy>Tyler Silvy</cp:lastModifiedBy>
  <cp:revision/>
  <dcterms:created xsi:type="dcterms:W3CDTF">2015-10-02T23:09:51Z</dcterms:created>
  <dcterms:modified xsi:type="dcterms:W3CDTF">2023-04-05T19:14:28Z</dcterms:modified>
  <cp:category/>
  <cp:contentStatus/>
</cp:coreProperties>
</file>